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L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4" i="1" l="1"/>
  <c r="L167" i="1"/>
  <c r="P164" i="1"/>
  <c r="L30" i="1"/>
  <c r="L29" i="1"/>
  <c r="L46" i="1" s="1"/>
  <c r="L26" i="1"/>
  <c r="L19" i="1"/>
  <c r="W164" i="1" l="1"/>
  <c r="S164" i="1"/>
  <c r="U164" i="1"/>
  <c r="L64" i="1"/>
  <c r="L76" i="1" s="1"/>
  <c r="L182" i="1"/>
  <c r="L183" i="1" s="1"/>
  <c r="P180" i="1"/>
  <c r="P182" i="1" s="1"/>
  <c r="L176" i="1"/>
  <c r="L177" i="1" s="1"/>
  <c r="P173" i="1"/>
  <c r="F172" i="1"/>
  <c r="S172" i="1"/>
  <c r="P172" i="1"/>
  <c r="L168" i="1"/>
  <c r="P166" i="1"/>
  <c r="T164" i="1" s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15" i="1"/>
  <c r="P114" i="1"/>
  <c r="F114" i="1"/>
  <c r="P142" i="1"/>
  <c r="P141" i="1"/>
  <c r="F141" i="1"/>
  <c r="P134" i="1"/>
  <c r="Y134" i="1" s="1"/>
  <c r="P127" i="1"/>
  <c r="W127" i="1" s="1"/>
  <c r="P126" i="1"/>
  <c r="P125" i="1"/>
  <c r="F125" i="1"/>
  <c r="P107" i="1"/>
  <c r="P106" i="1"/>
  <c r="F106" i="1"/>
  <c r="P101" i="1"/>
  <c r="P100" i="1"/>
  <c r="V164" i="1" l="1"/>
  <c r="X164" i="1"/>
  <c r="Y164" i="1"/>
  <c r="P167" i="1"/>
  <c r="P174" i="1"/>
  <c r="S180" i="1"/>
  <c r="S182" i="1" s="1"/>
  <c r="W180" i="1"/>
  <c r="Y180" i="1"/>
  <c r="U180" i="1"/>
  <c r="V180" i="1"/>
  <c r="T180" i="1"/>
  <c r="X180" i="1"/>
  <c r="X127" i="1"/>
  <c r="S149" i="1"/>
  <c r="S153" i="1"/>
  <c r="S157" i="1"/>
  <c r="S159" i="1"/>
  <c r="S160" i="1"/>
  <c r="S161" i="1"/>
  <c r="S162" i="1"/>
  <c r="S163" i="1"/>
  <c r="S150" i="1"/>
  <c r="S154" i="1"/>
  <c r="S158" i="1"/>
  <c r="S151" i="1"/>
  <c r="S155" i="1"/>
  <c r="S152" i="1"/>
  <c r="S156" i="1"/>
  <c r="S114" i="1"/>
  <c r="V127" i="1"/>
  <c r="S127" i="1"/>
  <c r="U127" i="1"/>
  <c r="Y127" i="1"/>
  <c r="T127" i="1"/>
  <c r="S100" i="1"/>
  <c r="S141" i="1"/>
  <c r="S134" i="1"/>
  <c r="V134" i="1"/>
  <c r="W134" i="1"/>
  <c r="T134" i="1"/>
  <c r="X134" i="1"/>
  <c r="U134" i="1"/>
  <c r="S125" i="1"/>
  <c r="S106" i="1"/>
  <c r="F93" i="1"/>
  <c r="P94" i="1"/>
  <c r="P93" i="1"/>
  <c r="P88" i="1"/>
  <c r="P87" i="1"/>
  <c r="T176" i="1" l="1"/>
  <c r="X176" i="1"/>
  <c r="S176" i="1"/>
  <c r="P176" i="1"/>
  <c r="U176" i="1"/>
  <c r="Y176" i="1"/>
  <c r="V176" i="1"/>
  <c r="W176" i="1"/>
  <c r="S167" i="1"/>
  <c r="S93" i="1"/>
  <c r="S87" i="1"/>
  <c r="P73" i="1"/>
  <c r="P72" i="1"/>
  <c r="P61" i="1"/>
  <c r="P60" i="1"/>
  <c r="P59" i="1"/>
  <c r="P58" i="1"/>
  <c r="P43" i="1"/>
  <c r="Y43" i="1" s="1"/>
  <c r="P42" i="1"/>
  <c r="Y42" i="1" s="1"/>
  <c r="P41" i="1"/>
  <c r="Y41" i="1" s="1"/>
  <c r="L36" i="1"/>
  <c r="L34" i="1"/>
  <c r="L51" i="1" s="1"/>
  <c r="L69" i="1" s="1"/>
  <c r="L81" i="1" s="1"/>
  <c r="L32" i="1"/>
  <c r="L35" i="1"/>
  <c r="L33" i="1"/>
  <c r="L50" i="1" s="1"/>
  <c r="L68" i="1" s="1"/>
  <c r="L80" i="1" s="1"/>
  <c r="L31" i="1"/>
  <c r="L38" i="1"/>
  <c r="L90" i="1" s="1"/>
  <c r="L97" i="1" s="1"/>
  <c r="P25" i="1"/>
  <c r="S25" i="1" s="1"/>
  <c r="P24" i="1"/>
  <c r="U24" i="1" s="1"/>
  <c r="P23" i="1"/>
  <c r="V23" i="1" s="1"/>
  <c r="P22" i="1"/>
  <c r="W22" i="1" s="1"/>
  <c r="L13" i="1"/>
  <c r="P12" i="1"/>
  <c r="W12" i="1" s="1"/>
  <c r="P18" i="1"/>
  <c r="P17" i="1"/>
  <c r="P19" i="1" s="1"/>
  <c r="P11" i="1"/>
  <c r="P183" i="1" s="1"/>
  <c r="T5" i="1"/>
  <c r="T172" i="1" s="1"/>
  <c r="T182" i="1" s="1"/>
  <c r="L49" i="1" l="1"/>
  <c r="L67" i="1" s="1"/>
  <c r="L79" i="1" s="1"/>
  <c r="L122" i="1"/>
  <c r="L128" i="1" s="1"/>
  <c r="P128" i="1" s="1"/>
  <c r="L48" i="1"/>
  <c r="P177" i="1"/>
  <c r="T150" i="1"/>
  <c r="T154" i="1"/>
  <c r="T160" i="1"/>
  <c r="T152" i="1"/>
  <c r="T156" i="1"/>
  <c r="T158" i="1"/>
  <c r="T163" i="1"/>
  <c r="T161" i="1"/>
  <c r="T155" i="1"/>
  <c r="T149" i="1"/>
  <c r="T157" i="1"/>
  <c r="T162" i="1"/>
  <c r="T159" i="1"/>
  <c r="T151" i="1"/>
  <c r="T153" i="1"/>
  <c r="V11" i="1"/>
  <c r="V177" i="1" s="1"/>
  <c r="P168" i="1"/>
  <c r="T87" i="1"/>
  <c r="T114" i="1"/>
  <c r="S12" i="1"/>
  <c r="T141" i="1"/>
  <c r="T125" i="1"/>
  <c r="T100" i="1"/>
  <c r="T106" i="1"/>
  <c r="T93" i="1"/>
  <c r="V12" i="1"/>
  <c r="L47" i="1"/>
  <c r="L145" i="1"/>
  <c r="T72" i="1"/>
  <c r="T60" i="1"/>
  <c r="S60" i="1"/>
  <c r="X24" i="1"/>
  <c r="S11" i="1"/>
  <c r="X11" i="1"/>
  <c r="X177" i="1" s="1"/>
  <c r="Y12" i="1"/>
  <c r="W24" i="1"/>
  <c r="T59" i="1"/>
  <c r="T17" i="1"/>
  <c r="T19" i="1" s="1"/>
  <c r="U12" i="1"/>
  <c r="T24" i="1"/>
  <c r="T58" i="1"/>
  <c r="P35" i="1"/>
  <c r="T11" i="1"/>
  <c r="T177" i="1" s="1"/>
  <c r="S72" i="1"/>
  <c r="S58" i="1"/>
  <c r="S59" i="1"/>
  <c r="V41" i="1"/>
  <c r="V42" i="1"/>
  <c r="V43" i="1"/>
  <c r="S41" i="1"/>
  <c r="W41" i="1"/>
  <c r="S42" i="1"/>
  <c r="W42" i="1"/>
  <c r="S43" i="1"/>
  <c r="W43" i="1"/>
  <c r="T41" i="1"/>
  <c r="X41" i="1"/>
  <c r="T42" i="1"/>
  <c r="X42" i="1"/>
  <c r="T43" i="1"/>
  <c r="X43" i="1"/>
  <c r="U41" i="1"/>
  <c r="U42" i="1"/>
  <c r="U43" i="1"/>
  <c r="U5" i="1"/>
  <c r="U172" i="1" s="1"/>
  <c r="U182" i="1" s="1"/>
  <c r="W11" i="1"/>
  <c r="W177" i="1" s="1"/>
  <c r="S17" i="1"/>
  <c r="S36" i="1" s="1"/>
  <c r="P13" i="1"/>
  <c r="Y13" i="1" s="1"/>
  <c r="Y22" i="1"/>
  <c r="U22" i="1"/>
  <c r="W25" i="1"/>
  <c r="P29" i="1"/>
  <c r="V24" i="1"/>
  <c r="X22" i="1"/>
  <c r="T22" i="1"/>
  <c r="U25" i="1"/>
  <c r="P33" i="1"/>
  <c r="P50" i="1" s="1"/>
  <c r="P68" i="1" s="1"/>
  <c r="P80" i="1" s="1"/>
  <c r="V22" i="1"/>
  <c r="X25" i="1"/>
  <c r="P30" i="1"/>
  <c r="Y11" i="1"/>
  <c r="Y177" i="1" s="1"/>
  <c r="U11" i="1"/>
  <c r="U177" i="1" s="1"/>
  <c r="T12" i="1"/>
  <c r="X12" i="1"/>
  <c r="Y24" i="1"/>
  <c r="Y25" i="1"/>
  <c r="T25" i="1"/>
  <c r="P34" i="1"/>
  <c r="P51" i="1" s="1"/>
  <c r="P69" i="1" s="1"/>
  <c r="P81" i="1" s="1"/>
  <c r="P36" i="1"/>
  <c r="V25" i="1"/>
  <c r="Y23" i="1"/>
  <c r="U23" i="1"/>
  <c r="T23" i="1"/>
  <c r="P31" i="1"/>
  <c r="P48" i="1" s="1"/>
  <c r="P66" i="1" s="1"/>
  <c r="P78" i="1" s="1"/>
  <c r="W23" i="1"/>
  <c r="P26" i="1"/>
  <c r="X23" i="1"/>
  <c r="P32" i="1"/>
  <c r="P49" i="1" s="1"/>
  <c r="L37" i="1"/>
  <c r="L89" i="1" s="1"/>
  <c r="L96" i="1" s="1"/>
  <c r="S24" i="1"/>
  <c r="S23" i="1"/>
  <c r="S22" i="1"/>
  <c r="L118" i="1" l="1"/>
  <c r="L65" i="1"/>
  <c r="L66" i="1"/>
  <c r="L78" i="1" s="1"/>
  <c r="L83" i="1" s="1"/>
  <c r="L54" i="1"/>
  <c r="L98" i="1" s="1"/>
  <c r="L102" i="1"/>
  <c r="L109" i="1" s="1"/>
  <c r="L117" i="1"/>
  <c r="L121" i="1"/>
  <c r="L130" i="1" s="1"/>
  <c r="L136" i="1" s="1"/>
  <c r="Y128" i="1"/>
  <c r="W128" i="1"/>
  <c r="X128" i="1"/>
  <c r="V128" i="1"/>
  <c r="T128" i="1"/>
  <c r="S128" i="1"/>
  <c r="U128" i="1"/>
  <c r="U13" i="1"/>
  <c r="T183" i="1"/>
  <c r="U183" i="1"/>
  <c r="S168" i="1"/>
  <c r="S183" i="1"/>
  <c r="S177" i="1"/>
  <c r="U155" i="1"/>
  <c r="U160" i="1"/>
  <c r="U162" i="1"/>
  <c r="U159" i="1"/>
  <c r="U151" i="1"/>
  <c r="U154" i="1"/>
  <c r="U157" i="1"/>
  <c r="U163" i="1"/>
  <c r="U149" i="1"/>
  <c r="U152" i="1"/>
  <c r="U158" i="1"/>
  <c r="U153" i="1"/>
  <c r="U156" i="1"/>
  <c r="U150" i="1"/>
  <c r="U161" i="1"/>
  <c r="T167" i="1"/>
  <c r="T168" i="1" s="1"/>
  <c r="S13" i="1"/>
  <c r="U114" i="1"/>
  <c r="L144" i="1"/>
  <c r="L131" i="1"/>
  <c r="L137" i="1" s="1"/>
  <c r="V13" i="1"/>
  <c r="T35" i="1"/>
  <c r="V5" i="1"/>
  <c r="V172" i="1" s="1"/>
  <c r="V182" i="1" s="1"/>
  <c r="V183" i="1" s="1"/>
  <c r="U125" i="1"/>
  <c r="U100" i="1"/>
  <c r="U141" i="1"/>
  <c r="U106" i="1"/>
  <c r="U93" i="1"/>
  <c r="U87" i="1"/>
  <c r="L77" i="1"/>
  <c r="L84" i="1" s="1"/>
  <c r="L103" i="1"/>
  <c r="L110" i="1" s="1"/>
  <c r="T36" i="1"/>
  <c r="P47" i="1"/>
  <c r="P46" i="1"/>
  <c r="U72" i="1"/>
  <c r="L55" i="1"/>
  <c r="P67" i="1"/>
  <c r="P79" i="1" s="1"/>
  <c r="T29" i="1"/>
  <c r="T46" i="1" s="1"/>
  <c r="U60" i="1"/>
  <c r="W13" i="1"/>
  <c r="U17" i="1"/>
  <c r="U35" i="1" s="1"/>
  <c r="X13" i="1"/>
  <c r="T31" i="1"/>
  <c r="T48" i="1" s="1"/>
  <c r="T66" i="1" s="1"/>
  <c r="T78" i="1" s="1"/>
  <c r="T33" i="1"/>
  <c r="T50" i="1" s="1"/>
  <c r="T68" i="1" s="1"/>
  <c r="T80" i="1" s="1"/>
  <c r="U59" i="1"/>
  <c r="U58" i="1"/>
  <c r="S30" i="1"/>
  <c r="T13" i="1"/>
  <c r="S33" i="1"/>
  <c r="S50" i="1" s="1"/>
  <c r="S68" i="1" s="1"/>
  <c r="S80" i="1" s="1"/>
  <c r="V26" i="1"/>
  <c r="T30" i="1"/>
  <c r="T34" i="1"/>
  <c r="T51" i="1" s="1"/>
  <c r="T69" i="1" s="1"/>
  <c r="T81" i="1" s="1"/>
  <c r="S34" i="1"/>
  <c r="S51" i="1" s="1"/>
  <c r="S69" i="1" s="1"/>
  <c r="S81" i="1" s="1"/>
  <c r="S19" i="1"/>
  <c r="S29" i="1"/>
  <c r="S35" i="1"/>
  <c r="U31" i="1"/>
  <c r="U48" i="1" s="1"/>
  <c r="X26" i="1"/>
  <c r="Y26" i="1"/>
  <c r="P37" i="1"/>
  <c r="P89" i="1" s="1"/>
  <c r="P96" i="1" s="1"/>
  <c r="P38" i="1"/>
  <c r="P90" i="1" s="1"/>
  <c r="P97" i="1" s="1"/>
  <c r="T32" i="1"/>
  <c r="T49" i="1" s="1"/>
  <c r="T26" i="1"/>
  <c r="S26" i="1"/>
  <c r="S38" i="1" s="1"/>
  <c r="S90" i="1" s="1"/>
  <c r="S97" i="1" s="1"/>
  <c r="S32" i="1"/>
  <c r="S49" i="1" s="1"/>
  <c r="S31" i="1"/>
  <c r="S48" i="1" s="1"/>
  <c r="S66" i="1" s="1"/>
  <c r="S78" i="1" s="1"/>
  <c r="W26" i="1"/>
  <c r="U26" i="1"/>
  <c r="L85" i="1" l="1"/>
  <c r="L184" i="1"/>
  <c r="L178" i="1"/>
  <c r="V159" i="1"/>
  <c r="V151" i="1"/>
  <c r="V155" i="1"/>
  <c r="V163" i="1"/>
  <c r="V153" i="1"/>
  <c r="V152" i="1"/>
  <c r="V154" i="1"/>
  <c r="V149" i="1"/>
  <c r="V162" i="1"/>
  <c r="V156" i="1"/>
  <c r="V157" i="1"/>
  <c r="V161" i="1"/>
  <c r="V160" i="1"/>
  <c r="V158" i="1"/>
  <c r="V150" i="1"/>
  <c r="W5" i="1"/>
  <c r="L138" i="1"/>
  <c r="L169" i="1" s="1"/>
  <c r="U167" i="1"/>
  <c r="L146" i="1"/>
  <c r="L119" i="1"/>
  <c r="W114" i="1"/>
  <c r="V114" i="1"/>
  <c r="V17" i="1"/>
  <c r="V36" i="1" s="1"/>
  <c r="U29" i="1"/>
  <c r="U46" i="1" s="1"/>
  <c r="U64" i="1" s="1"/>
  <c r="U76" i="1" s="1"/>
  <c r="V58" i="1"/>
  <c r="V60" i="1"/>
  <c r="P65" i="1"/>
  <c r="P77" i="1" s="1"/>
  <c r="P84" i="1" s="1"/>
  <c r="P118" i="1"/>
  <c r="T117" i="1"/>
  <c r="P54" i="1"/>
  <c r="P117" i="1"/>
  <c r="P64" i="1"/>
  <c r="P76" i="1" s="1"/>
  <c r="P83" i="1" s="1"/>
  <c r="P102" i="1"/>
  <c r="P109" i="1" s="1"/>
  <c r="P121" i="1"/>
  <c r="W100" i="1"/>
  <c r="W141" i="1"/>
  <c r="W93" i="1"/>
  <c r="W87" i="1"/>
  <c r="S46" i="1"/>
  <c r="S117" i="1" s="1"/>
  <c r="S47" i="1"/>
  <c r="S65" i="1" s="1"/>
  <c r="S77" i="1" s="1"/>
  <c r="S122" i="1"/>
  <c r="S145" i="1" s="1"/>
  <c r="P55" i="1"/>
  <c r="P103" i="1"/>
  <c r="P110" i="1" s="1"/>
  <c r="U32" i="1"/>
  <c r="U49" i="1" s="1"/>
  <c r="U67" i="1" s="1"/>
  <c r="U79" i="1" s="1"/>
  <c r="U30" i="1"/>
  <c r="U47" i="1" s="1"/>
  <c r="U36" i="1"/>
  <c r="V59" i="1"/>
  <c r="V141" i="1"/>
  <c r="V100" i="1"/>
  <c r="V106" i="1"/>
  <c r="V125" i="1"/>
  <c r="V93" i="1"/>
  <c r="V87" i="1"/>
  <c r="V72" i="1"/>
  <c r="U34" i="1"/>
  <c r="U51" i="1" s="1"/>
  <c r="U69" i="1" s="1"/>
  <c r="U81" i="1" s="1"/>
  <c r="L111" i="1"/>
  <c r="L132" i="1"/>
  <c r="P122" i="1"/>
  <c r="P145" i="1" s="1"/>
  <c r="T102" i="1"/>
  <c r="T109" i="1" s="1"/>
  <c r="T47" i="1"/>
  <c r="T55" i="1" s="1"/>
  <c r="U66" i="1"/>
  <c r="U78" i="1" s="1"/>
  <c r="S64" i="1"/>
  <c r="S76" i="1" s="1"/>
  <c r="S83" i="1" s="1"/>
  <c r="T64" i="1"/>
  <c r="T76" i="1" s="1"/>
  <c r="T83" i="1" s="1"/>
  <c r="T54" i="1"/>
  <c r="T67" i="1"/>
  <c r="T79" i="1" s="1"/>
  <c r="S67" i="1"/>
  <c r="S79" i="1" s="1"/>
  <c r="U19" i="1"/>
  <c r="U33" i="1"/>
  <c r="U50" i="1" s="1"/>
  <c r="U68" i="1" s="1"/>
  <c r="U80" i="1" s="1"/>
  <c r="W60" i="1"/>
  <c r="W58" i="1"/>
  <c r="V30" i="1"/>
  <c r="V35" i="1"/>
  <c r="V34" i="1"/>
  <c r="V51" i="1" s="1"/>
  <c r="V32" i="1"/>
  <c r="V49" i="1" s="1"/>
  <c r="V37" i="1"/>
  <c r="W17" i="1"/>
  <c r="U38" i="1"/>
  <c r="U90" i="1" s="1"/>
  <c r="U97" i="1" s="1"/>
  <c r="U37" i="1"/>
  <c r="U89" i="1" s="1"/>
  <c r="U96" i="1" s="1"/>
  <c r="S37" i="1"/>
  <c r="S89" i="1" s="1"/>
  <c r="S96" i="1" s="1"/>
  <c r="T38" i="1"/>
  <c r="T90" i="1" s="1"/>
  <c r="T97" i="1" s="1"/>
  <c r="T37" i="1"/>
  <c r="T89" i="1" s="1"/>
  <c r="T96" i="1" s="1"/>
  <c r="V69" i="1" l="1"/>
  <c r="V81" i="1" s="1"/>
  <c r="L8" i="1"/>
  <c r="T169" i="1"/>
  <c r="T178" i="1"/>
  <c r="T184" i="1"/>
  <c r="P169" i="1"/>
  <c r="P184" i="1"/>
  <c r="P178" i="1"/>
  <c r="W106" i="1"/>
  <c r="W172" i="1"/>
  <c r="W182" i="1" s="1"/>
  <c r="W183" i="1" s="1"/>
  <c r="W59" i="1"/>
  <c r="W156" i="1"/>
  <c r="W152" i="1"/>
  <c r="W159" i="1"/>
  <c r="W163" i="1"/>
  <c r="W155" i="1"/>
  <c r="W160" i="1"/>
  <c r="W149" i="1"/>
  <c r="W151" i="1"/>
  <c r="W154" i="1"/>
  <c r="W162" i="1"/>
  <c r="W153" i="1"/>
  <c r="W150" i="1"/>
  <c r="W157" i="1"/>
  <c r="W161" i="1"/>
  <c r="W158" i="1"/>
  <c r="V167" i="1"/>
  <c r="V168" i="1" s="1"/>
  <c r="X5" i="1"/>
  <c r="X172" i="1" s="1"/>
  <c r="X182" i="1" s="1"/>
  <c r="X183" i="1" s="1"/>
  <c r="V89" i="1"/>
  <c r="V96" i="1" s="1"/>
  <c r="W72" i="1"/>
  <c r="W125" i="1"/>
  <c r="U168" i="1"/>
  <c r="S84" i="1"/>
  <c r="U54" i="1"/>
  <c r="V29" i="1"/>
  <c r="V19" i="1"/>
  <c r="S102" i="1"/>
  <c r="S109" i="1" s="1"/>
  <c r="P85" i="1"/>
  <c r="V38" i="1"/>
  <c r="V90" i="1" s="1"/>
  <c r="V97" i="1" s="1"/>
  <c r="V31" i="1"/>
  <c r="V48" i="1" s="1"/>
  <c r="V66" i="1" s="1"/>
  <c r="V78" i="1" s="1"/>
  <c r="V33" i="1"/>
  <c r="V50" i="1" s="1"/>
  <c r="V68" i="1" s="1"/>
  <c r="V80" i="1" s="1"/>
  <c r="S54" i="1"/>
  <c r="S98" i="1" s="1"/>
  <c r="U118" i="1"/>
  <c r="P111" i="1"/>
  <c r="T119" i="1"/>
  <c r="P98" i="1"/>
  <c r="U117" i="1"/>
  <c r="T103" i="1"/>
  <c r="T110" i="1" s="1"/>
  <c r="T118" i="1"/>
  <c r="S55" i="1"/>
  <c r="S118" i="1"/>
  <c r="S103" i="1"/>
  <c r="S110" i="1" s="1"/>
  <c r="P119" i="1"/>
  <c r="P130" i="1"/>
  <c r="P144" i="1"/>
  <c r="T98" i="1"/>
  <c r="U103" i="1"/>
  <c r="U110" i="1" s="1"/>
  <c r="U55" i="1"/>
  <c r="X100" i="1"/>
  <c r="X141" i="1"/>
  <c r="X93" i="1"/>
  <c r="X87" i="1"/>
  <c r="U122" i="1"/>
  <c r="U145" i="1" s="1"/>
  <c r="S121" i="1"/>
  <c r="T65" i="1"/>
  <c r="T77" i="1" s="1"/>
  <c r="T84" i="1" s="1"/>
  <c r="V47" i="1"/>
  <c r="U121" i="1"/>
  <c r="U65" i="1"/>
  <c r="U77" i="1" s="1"/>
  <c r="U84" i="1" s="1"/>
  <c r="T121" i="1"/>
  <c r="T144" i="1" s="1"/>
  <c r="T122" i="1"/>
  <c r="T145" i="1" s="1"/>
  <c r="T111" i="1"/>
  <c r="T85" i="1"/>
  <c r="U102" i="1"/>
  <c r="U109" i="1" s="1"/>
  <c r="U83" i="1"/>
  <c r="V67" i="1"/>
  <c r="V79" i="1" s="1"/>
  <c r="X58" i="1"/>
  <c r="X59" i="1"/>
  <c r="W19" i="1"/>
  <c r="W34" i="1"/>
  <c r="W51" i="1" s="1"/>
  <c r="W69" i="1" s="1"/>
  <c r="W31" i="1"/>
  <c r="W48" i="1" s="1"/>
  <c r="W29" i="1"/>
  <c r="W30" i="1"/>
  <c r="W35" i="1"/>
  <c r="W33" i="1"/>
  <c r="W50" i="1" s="1"/>
  <c r="W68" i="1" s="1"/>
  <c r="W36" i="1"/>
  <c r="W32" i="1"/>
  <c r="W49" i="1" s="1"/>
  <c r="W37" i="1"/>
  <c r="W89" i="1" s="1"/>
  <c r="W96" i="1" s="1"/>
  <c r="X17" i="1"/>
  <c r="W38" i="1"/>
  <c r="W90" i="1" s="1"/>
  <c r="W97" i="1" s="1"/>
  <c r="W81" i="1" l="1"/>
  <c r="X106" i="1"/>
  <c r="W66" i="1"/>
  <c r="W78" i="1" s="1"/>
  <c r="U169" i="1"/>
  <c r="U178" i="1"/>
  <c r="U184" i="1"/>
  <c r="Y5" i="1"/>
  <c r="Y172" i="1" s="1"/>
  <c r="Y182" i="1" s="1"/>
  <c r="X60" i="1"/>
  <c r="U111" i="1"/>
  <c r="X72" i="1"/>
  <c r="X125" i="1"/>
  <c r="S184" i="1"/>
  <c r="S178" i="1"/>
  <c r="X114" i="1"/>
  <c r="U119" i="1"/>
  <c r="V121" i="1"/>
  <c r="V130" i="1" s="1"/>
  <c r="V131" i="1" s="1"/>
  <c r="V137" i="1" s="1"/>
  <c r="U98" i="1"/>
  <c r="W167" i="1"/>
  <c r="W168" i="1" s="1"/>
  <c r="X160" i="1"/>
  <c r="X152" i="1"/>
  <c r="X156" i="1"/>
  <c r="X158" i="1"/>
  <c r="X150" i="1"/>
  <c r="X154" i="1"/>
  <c r="X157" i="1"/>
  <c r="X163" i="1"/>
  <c r="X151" i="1"/>
  <c r="X162" i="1"/>
  <c r="X161" i="1"/>
  <c r="X159" i="1"/>
  <c r="X149" i="1"/>
  <c r="X153" i="1"/>
  <c r="X155" i="1"/>
  <c r="S119" i="1"/>
  <c r="S169" i="1"/>
  <c r="Y162" i="1"/>
  <c r="W80" i="1"/>
  <c r="V46" i="1"/>
  <c r="V64" i="1" s="1"/>
  <c r="V76" i="1" s="1"/>
  <c r="V83" i="1" s="1"/>
  <c r="S85" i="1"/>
  <c r="V122" i="1"/>
  <c r="V145" i="1" s="1"/>
  <c r="U85" i="1"/>
  <c r="P146" i="1"/>
  <c r="S111" i="1"/>
  <c r="V103" i="1"/>
  <c r="V110" i="1" s="1"/>
  <c r="V118" i="1"/>
  <c r="T146" i="1"/>
  <c r="S130" i="1"/>
  <c r="S132" i="1" s="1"/>
  <c r="S144" i="1"/>
  <c r="P132" i="1"/>
  <c r="P136" i="1"/>
  <c r="P138" i="1" s="1"/>
  <c r="P131" i="1"/>
  <c r="P137" i="1" s="1"/>
  <c r="U130" i="1"/>
  <c r="U131" i="1" s="1"/>
  <c r="U137" i="1" s="1"/>
  <c r="U144" i="1"/>
  <c r="V55" i="1"/>
  <c r="T130" i="1"/>
  <c r="V65" i="1"/>
  <c r="V77" i="1" s="1"/>
  <c r="V84" i="1" s="1"/>
  <c r="W47" i="1"/>
  <c r="W122" i="1"/>
  <c r="W145" i="1" s="1"/>
  <c r="W46" i="1"/>
  <c r="W54" i="1" s="1"/>
  <c r="W121" i="1"/>
  <c r="W67" i="1"/>
  <c r="W79" i="1" s="1"/>
  <c r="X19" i="1"/>
  <c r="X35" i="1"/>
  <c r="X33" i="1"/>
  <c r="X50" i="1" s="1"/>
  <c r="X29" i="1"/>
  <c r="X30" i="1"/>
  <c r="X31" i="1"/>
  <c r="X48" i="1" s="1"/>
  <c r="X66" i="1" s="1"/>
  <c r="X34" i="1"/>
  <c r="X51" i="1" s="1"/>
  <c r="X32" i="1"/>
  <c r="X49" i="1" s="1"/>
  <c r="X36" i="1"/>
  <c r="X38" i="1"/>
  <c r="X90" i="1" s="1"/>
  <c r="X97" i="1" s="1"/>
  <c r="X37" i="1"/>
  <c r="X89" i="1" s="1"/>
  <c r="X96" i="1" s="1"/>
  <c r="X69" i="1" l="1"/>
  <c r="X68" i="1"/>
  <c r="Y93" i="1"/>
  <c r="Y163" i="1"/>
  <c r="V144" i="1"/>
  <c r="Y17" i="1"/>
  <c r="Y19" i="1" s="1"/>
  <c r="Y100" i="1"/>
  <c r="Y152" i="1"/>
  <c r="Y183" i="1"/>
  <c r="Y30" i="1"/>
  <c r="Y47" i="1" s="1"/>
  <c r="Y58" i="1"/>
  <c r="Y87" i="1"/>
  <c r="Y141" i="1"/>
  <c r="Y114" i="1"/>
  <c r="Y156" i="1"/>
  <c r="Y150" i="1"/>
  <c r="Y159" i="1"/>
  <c r="Y155" i="1"/>
  <c r="X81" i="1"/>
  <c r="X80" i="1"/>
  <c r="Y60" i="1"/>
  <c r="Y125" i="1"/>
  <c r="Y157" i="1"/>
  <c r="Y158" i="1"/>
  <c r="Y154" i="1"/>
  <c r="Y160" i="1"/>
  <c r="X78" i="1"/>
  <c r="Y59" i="1"/>
  <c r="W184" i="1"/>
  <c r="W178" i="1"/>
  <c r="Y72" i="1"/>
  <c r="Y106" i="1"/>
  <c r="Y149" i="1"/>
  <c r="Y161" i="1"/>
  <c r="Y153" i="1"/>
  <c r="Y151" i="1"/>
  <c r="W169" i="1"/>
  <c r="V117" i="1"/>
  <c r="S131" i="1"/>
  <c r="S137" i="1" s="1"/>
  <c r="V54" i="1"/>
  <c r="V102" i="1"/>
  <c r="V109" i="1" s="1"/>
  <c r="X167" i="1"/>
  <c r="X168" i="1" s="1"/>
  <c r="Y33" i="1"/>
  <c r="Y50" i="1" s="1"/>
  <c r="U136" i="1"/>
  <c r="U138" i="1" s="1"/>
  <c r="S146" i="1"/>
  <c r="Y31" i="1"/>
  <c r="Y48" i="1" s="1"/>
  <c r="S136" i="1"/>
  <c r="S138" i="1" s="1"/>
  <c r="S8" i="1" s="1"/>
  <c r="V136" i="1"/>
  <c r="U146" i="1"/>
  <c r="P8" i="1"/>
  <c r="W103" i="1"/>
  <c r="W110" i="1" s="1"/>
  <c r="W118" i="1"/>
  <c r="W102" i="1"/>
  <c r="W109" i="1" s="1"/>
  <c r="W111" i="1" s="1"/>
  <c r="W117" i="1"/>
  <c r="W119" i="1" s="1"/>
  <c r="U132" i="1"/>
  <c r="V146" i="1"/>
  <c r="W65" i="1"/>
  <c r="W77" i="1" s="1"/>
  <c r="W84" i="1" s="1"/>
  <c r="W130" i="1"/>
  <c r="W132" i="1" s="1"/>
  <c r="W144" i="1"/>
  <c r="W98" i="1"/>
  <c r="T131" i="1"/>
  <c r="T137" i="1" s="1"/>
  <c r="T136" i="1"/>
  <c r="T138" i="1" s="1"/>
  <c r="T132" i="1"/>
  <c r="X46" i="1"/>
  <c r="X121" i="1"/>
  <c r="W64" i="1"/>
  <c r="W76" i="1" s="1"/>
  <c r="W83" i="1" s="1"/>
  <c r="W85" i="1" s="1"/>
  <c r="X47" i="1"/>
  <c r="X122" i="1"/>
  <c r="X145" i="1" s="1"/>
  <c r="W55" i="1"/>
  <c r="X67" i="1"/>
  <c r="X79" i="1" s="1"/>
  <c r="Y68" i="1"/>
  <c r="Y80" i="1" s="1"/>
  <c r="U8" i="1" l="1"/>
  <c r="Y66" i="1"/>
  <c r="Y78" i="1" s="1"/>
  <c r="Y29" i="1"/>
  <c r="Y46" i="1" s="1"/>
  <c r="Y54" i="1" s="1"/>
  <c r="Y35" i="1"/>
  <c r="Y121" i="1" s="1"/>
  <c r="Y34" i="1"/>
  <c r="Y51" i="1" s="1"/>
  <c r="Y69" i="1" s="1"/>
  <c r="Y81" i="1" s="1"/>
  <c r="Y32" i="1"/>
  <c r="Y49" i="1" s="1"/>
  <c r="Y67" i="1" s="1"/>
  <c r="Y79" i="1" s="1"/>
  <c r="Y36" i="1"/>
  <c r="W136" i="1"/>
  <c r="W138" i="1" s="1"/>
  <c r="Y37" i="1"/>
  <c r="Y89" i="1" s="1"/>
  <c r="Y96" i="1" s="1"/>
  <c r="Y38" i="1"/>
  <c r="Y90" i="1" s="1"/>
  <c r="Y97" i="1" s="1"/>
  <c r="Y167" i="1"/>
  <c r="Y168" i="1" s="1"/>
  <c r="V169" i="1"/>
  <c r="V184" i="1"/>
  <c r="V178" i="1"/>
  <c r="V132" i="1"/>
  <c r="V111" i="1"/>
  <c r="V138" i="1"/>
  <c r="V85" i="1"/>
  <c r="V119" i="1"/>
  <c r="V98" i="1"/>
  <c r="Y118" i="1"/>
  <c r="W146" i="1"/>
  <c r="Y102" i="1"/>
  <c r="Y109" i="1" s="1"/>
  <c r="Y117" i="1"/>
  <c r="X103" i="1"/>
  <c r="X110" i="1" s="1"/>
  <c r="X118" i="1"/>
  <c r="X102" i="1"/>
  <c r="X109" i="1" s="1"/>
  <c r="X117" i="1"/>
  <c r="X64" i="1"/>
  <c r="X76" i="1" s="1"/>
  <c r="X83" i="1" s="1"/>
  <c r="X130" i="1"/>
  <c r="X131" i="1" s="1"/>
  <c r="X137" i="1" s="1"/>
  <c r="X144" i="1"/>
  <c r="W131" i="1"/>
  <c r="W137" i="1" s="1"/>
  <c r="X55" i="1"/>
  <c r="Y55" i="1"/>
  <c r="Y64" i="1"/>
  <c r="Y76" i="1" s="1"/>
  <c r="Y83" i="1" s="1"/>
  <c r="X54" i="1"/>
  <c r="T8" i="1"/>
  <c r="Y65" i="1"/>
  <c r="Y77" i="1" s="1"/>
  <c r="X65" i="1"/>
  <c r="X77" i="1" s="1"/>
  <c r="X84" i="1" s="1"/>
  <c r="W8" i="1" l="1"/>
  <c r="Y144" i="1"/>
  <c r="Y130" i="1"/>
  <c r="Y136" i="1" s="1"/>
  <c r="Y103" i="1"/>
  <c r="Y110" i="1" s="1"/>
  <c r="Y122" i="1"/>
  <c r="Y145" i="1" s="1"/>
  <c r="Y84" i="1"/>
  <c r="X169" i="1"/>
  <c r="X178" i="1"/>
  <c r="X184" i="1"/>
  <c r="Y169" i="1"/>
  <c r="Y178" i="1"/>
  <c r="Y184" i="1"/>
  <c r="V8" i="1"/>
  <c r="Y119" i="1"/>
  <c r="X119" i="1"/>
  <c r="X136" i="1"/>
  <c r="X138" i="1" s="1"/>
  <c r="Y111" i="1"/>
  <c r="X111" i="1"/>
  <c r="Y138" i="1"/>
  <c r="X146" i="1"/>
  <c r="X85" i="1"/>
  <c r="Y146" i="1"/>
  <c r="Y131" i="1"/>
  <c r="Y137" i="1" s="1"/>
  <c r="Y85" i="1"/>
  <c r="X98" i="1"/>
  <c r="X132" i="1"/>
  <c r="Y98" i="1"/>
  <c r="Y132" i="1" l="1"/>
  <c r="Y8" i="1"/>
  <c r="X8" i="1"/>
</calcChain>
</file>

<file path=xl/sharedStrings.xml><?xml version="1.0" encoding="utf-8"?>
<sst xmlns="http://schemas.openxmlformats.org/spreadsheetml/2006/main" count="339" uniqueCount="163">
  <si>
    <t>№ периода:</t>
  </si>
  <si>
    <t>количество дней в периоде</t>
  </si>
  <si>
    <t>базовое значение</t>
  </si>
  <si>
    <t>прирост сценария</t>
  </si>
  <si>
    <t>значение для расчета</t>
  </si>
  <si>
    <t>Калькуляция ценообразования транспортной компании</t>
  </si>
  <si>
    <t>ед.изм.</t>
  </si>
  <si>
    <t>доля времени, когда ТС исполняет заказ</t>
  </si>
  <si>
    <t>%</t>
  </si>
  <si>
    <t>показатели</t>
  </si>
  <si>
    <t>изменение доли</t>
  </si>
  <si>
    <t>*</t>
  </si>
  <si>
    <t>доля времени, когда ТС не исполняет заказ</t>
  </si>
  <si>
    <t>кол-во часов в сутках</t>
  </si>
  <si>
    <t>количество часов в периоде</t>
  </si>
  <si>
    <t xml:space="preserve"> доля времени движения с полной загрузкой</t>
  </si>
  <si>
    <t>при исполнении заказа, долевое распределение</t>
  </si>
  <si>
    <t xml:space="preserve"> доля времени движения с неполной загрузкой</t>
  </si>
  <si>
    <t xml:space="preserve"> доля времени движения без загрузки</t>
  </si>
  <si>
    <t>доля времени на загрузку/разгрузку</t>
  </si>
  <si>
    <t>доля времени простоя ТС</t>
  </si>
  <si>
    <t>при исполнении заказа, распределение времени</t>
  </si>
  <si>
    <t>дни</t>
  </si>
  <si>
    <t xml:space="preserve"> кол-во дней движения с полной загрузкой</t>
  </si>
  <si>
    <t xml:space="preserve"> кол-во дней движения с неполной загрузкой</t>
  </si>
  <si>
    <t xml:space="preserve"> кол-во дней движения без загрузки</t>
  </si>
  <si>
    <t>кол-во дней на загрузку/разгрузку</t>
  </si>
  <si>
    <t>кол-во дней простоя ТС</t>
  </si>
  <si>
    <t>час/дн</t>
  </si>
  <si>
    <t>при исполнении заказа, скорость движения</t>
  </si>
  <si>
    <t xml:space="preserve"> скорость движения с полной загрузкой</t>
  </si>
  <si>
    <t xml:space="preserve"> скорость движения с неполной загрузкой</t>
  </si>
  <si>
    <t xml:space="preserve"> скорость движения без загрузки</t>
  </si>
  <si>
    <t>км/час</t>
  </si>
  <si>
    <t>при исполнении заказа, пробег</t>
  </si>
  <si>
    <t>км</t>
  </si>
  <si>
    <t>км/дн</t>
  </si>
  <si>
    <t xml:space="preserve"> пробег с полной загрузкой</t>
  </si>
  <si>
    <t xml:space="preserve"> пробег с неполной загрузкой</t>
  </si>
  <si>
    <t xml:space="preserve"> пробег без загрузки</t>
  </si>
  <si>
    <t>пробег в день с полной загрузкой</t>
  </si>
  <si>
    <t>кол-во часов в день движения с полной загрузкой</t>
  </si>
  <si>
    <t>при исполнении заказа, расход ГСМ</t>
  </si>
  <si>
    <t>изменение расхода ГСМ</t>
  </si>
  <si>
    <t>при исполнении заказа, расход ГСМ на 1 км</t>
  </si>
  <si>
    <t>л</t>
  </si>
  <si>
    <t>л/дн</t>
  </si>
  <si>
    <t xml:space="preserve"> расход ГСМ при движ. с полной загрузкой</t>
  </si>
  <si>
    <t xml:space="preserve"> расход ГСМ при движ. с неполной загрузкой</t>
  </si>
  <si>
    <t xml:space="preserve"> расход ГСМ при движ. без загрузки</t>
  </si>
  <si>
    <t>расход ГСМ в день при движ. с полной загрузкой</t>
  </si>
  <si>
    <t>л/100км</t>
  </si>
  <si>
    <t>стоимость ГСМ</t>
  </si>
  <si>
    <t xml:space="preserve"> стоимость ГСМ</t>
  </si>
  <si>
    <t>руб/л</t>
  </si>
  <si>
    <t>изменение стоимости ГСМ</t>
  </si>
  <si>
    <t>пробег для целей ценообразования</t>
  </si>
  <si>
    <t>пробег непосредственного исполнения заказа</t>
  </si>
  <si>
    <t>пробег в день при исполнении заказов</t>
  </si>
  <si>
    <t>Расходы на ГСМ</t>
  </si>
  <si>
    <t xml:space="preserve"> расходы на ГСМ при движ. с полной загрузкой</t>
  </si>
  <si>
    <t>расходы на ГСМ в день при движ. с полной загрузкой</t>
  </si>
  <si>
    <t xml:space="preserve"> расходы на ГСМ при движ. с неполной загрузкой</t>
  </si>
  <si>
    <t xml:space="preserve"> расходы на ГСМ при движ. без загрузки</t>
  </si>
  <si>
    <t>руб</t>
  </si>
  <si>
    <t>руб/дн</t>
  </si>
  <si>
    <t>PL(-)</t>
  </si>
  <si>
    <t xml:space="preserve"> Расходы на ГСМ</t>
  </si>
  <si>
    <t>Расходы на ГСМ в день</t>
  </si>
  <si>
    <t>Расходы на ГСМ на 1 км "ценового пробега"</t>
  </si>
  <si>
    <t>руб/км</t>
  </si>
  <si>
    <t>UE</t>
  </si>
  <si>
    <t>кол-во часов в день движения с неполной загрузкой</t>
  </si>
  <si>
    <t>кол-во часов в день движения без загрузки</t>
  </si>
  <si>
    <t>кол-во часов в день на загрузку/разгрузку</t>
  </si>
  <si>
    <t>кол-во часов в день простоя ТС</t>
  </si>
  <si>
    <t>пробег в день с неполной загрузкой</t>
  </si>
  <si>
    <t>пробег в день без загрузки</t>
  </si>
  <si>
    <t>расход ГСМ в день при движ. с неполной загрузкой</t>
  </si>
  <si>
    <t>расход ГСМ в день при движ. без загрузки</t>
  </si>
  <si>
    <t>расходы на ГСМ в день при движ. с неполной загрузкой</t>
  </si>
  <si>
    <t>расходы на ГСМ в день при движ. без загрузки</t>
  </si>
  <si>
    <t>доля времени простоя, когда ТС стоит на платной стоянке</t>
  </si>
  <si>
    <t>кол-во дней платного простоя ТС</t>
  </si>
  <si>
    <t>кол-во часов в день платного простоя ТС</t>
  </si>
  <si>
    <t>стоимость платной стоянки</t>
  </si>
  <si>
    <t>руб/час</t>
  </si>
  <si>
    <t>изменение стоимости платной стоянки</t>
  </si>
  <si>
    <t xml:space="preserve"> Расходы на платные стоянки</t>
  </si>
  <si>
    <t>Расходы на платные стоянки в день</t>
  </si>
  <si>
    <t>Расходы на пл.ст-ки на 1 км "ценового пробега"</t>
  </si>
  <si>
    <t>доля километража по платным трассам</t>
  </si>
  <si>
    <t>километраж по платным трассам</t>
  </si>
  <si>
    <t>километраж в день по платным трассам</t>
  </si>
  <si>
    <t>стоимость платных трасс</t>
  </si>
  <si>
    <t>изменение стоимости платных трасс</t>
  </si>
  <si>
    <t xml:space="preserve"> Расходы на платные трассы</t>
  </si>
  <si>
    <t>Расходы на платные трассы в день</t>
  </si>
  <si>
    <t>Расходы на пл.трассы на 1 км "ценового пробега"</t>
  </si>
  <si>
    <t>Итоговая себестоимость на 1 км</t>
  </si>
  <si>
    <t>кол-во дней работы водителей</t>
  </si>
  <si>
    <t>кол-во часов в день работы водителей</t>
  </si>
  <si>
    <t>ежемесячная з/п водителя</t>
  </si>
  <si>
    <t>изменение з/п водителя</t>
  </si>
  <si>
    <t>руб/мес</t>
  </si>
  <si>
    <t xml:space="preserve"> Расходы на з/п водителя</t>
  </si>
  <si>
    <t>часов/дн</t>
  </si>
  <si>
    <t>Расходы на з/п водителя в день</t>
  </si>
  <si>
    <t>Расходы на з/п водителя на 1 км "ценового пробега"</t>
  </si>
  <si>
    <t>соцсборы с з/п водителя</t>
  </si>
  <si>
    <t xml:space="preserve"> Соцсборы с з/п водителя</t>
  </si>
  <si>
    <t>Соцсборы с з/п водителя в день</t>
  </si>
  <si>
    <t>Соцсборы с з/п водителя на 1 км "ценового пробега"</t>
  </si>
  <si>
    <t>Расходы на водителей (суточные, связь и т.п.)</t>
  </si>
  <si>
    <t>изменение расходов на водителя</t>
  </si>
  <si>
    <t>руб/день</t>
  </si>
  <si>
    <t xml:space="preserve"> Расходы на водителей</t>
  </si>
  <si>
    <t>Расходы на водителей в день</t>
  </si>
  <si>
    <t>Расходы на водителей на 1 км "ценового пробега"</t>
  </si>
  <si>
    <t>расчет производится для 1 трансп.средства (ТС)</t>
  </si>
  <si>
    <t>стоимость дорожных сборов Платон</t>
  </si>
  <si>
    <t>изменение стоимости Платона</t>
  </si>
  <si>
    <t xml:space="preserve"> Расходы на Платон</t>
  </si>
  <si>
    <t>Расходы на Платон в день</t>
  </si>
  <si>
    <t>Расходы на Платон на 1 км "ценового пробега"</t>
  </si>
  <si>
    <t>Прочие расходы в день</t>
  </si>
  <si>
    <t>Прочие расходы на 1 км "ценового пробега"</t>
  </si>
  <si>
    <t>ТО</t>
  </si>
  <si>
    <t>Текущий ремонт</t>
  </si>
  <si>
    <t>Мойка</t>
  </si>
  <si>
    <t>Шины</t>
  </si>
  <si>
    <t>Обслуживание Омникомм</t>
  </si>
  <si>
    <t>З/п офисных сотрудников</t>
  </si>
  <si>
    <t>Аренда офиса</t>
  </si>
  <si>
    <t>Аренда стоянки</t>
  </si>
  <si>
    <t>ОСАГО</t>
  </si>
  <si>
    <t>КАСКО</t>
  </si>
  <si>
    <t>индексация прочих расходов</t>
  </si>
  <si>
    <t>прочие постоянные расходы</t>
  </si>
  <si>
    <t>расход-11</t>
  </si>
  <si>
    <t>расход-12</t>
  </si>
  <si>
    <t>расход-13</t>
  </si>
  <si>
    <t>расход-14</t>
  </si>
  <si>
    <t>расход-15</t>
  </si>
  <si>
    <t>текущая стоимость ТС</t>
  </si>
  <si>
    <t>срок амортизации</t>
  </si>
  <si>
    <t>кол-во лет</t>
  </si>
  <si>
    <t>Амортизация</t>
  </si>
  <si>
    <t>Амортизация в год</t>
  </si>
  <si>
    <t>Амортизация в день</t>
  </si>
  <si>
    <t>Амортизация на 1 км "ценового пробега"</t>
  </si>
  <si>
    <t>транспортный налог</t>
  </si>
  <si>
    <t xml:space="preserve"> Транспортный налог</t>
  </si>
  <si>
    <t>Транспортный налог в день</t>
  </si>
  <si>
    <t>Транспортный налог на 1 км "ценового пробега"</t>
  </si>
  <si>
    <t xml:space="preserve"> расход ГСМ с полной загрузкой</t>
  </si>
  <si>
    <t xml:space="preserve"> расход ГСМ с неполной загрузкой</t>
  </si>
  <si>
    <t xml:space="preserve"> расход ГСМ без загрузки</t>
  </si>
  <si>
    <t>количество водителей</t>
  </si>
  <si>
    <t>чел</t>
  </si>
  <si>
    <t>ежедневная ставка (смена) водителя</t>
  </si>
  <si>
    <t>расход-16</t>
  </si>
  <si>
    <t>Итого прочие постоянные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</si>
</sst>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i/>
      <sz val="11"/>
      <color theme="1" tint="0.499984740745262"/>
      <name val="Calibri"/>
      <family val="2"/>
      <charset val="204"/>
      <scheme val="minor"/>
    </font>
    <font>
      <b/>
      <i/>
      <sz val="11"/>
      <color theme="1" tint="0.499984740745262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theme="1" tint="0.499984740745262"/>
      </bottom>
      <diagonal/>
    </border>
    <border>
      <left/>
      <right/>
      <top style="double">
        <color theme="1" tint="0.499984740745262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3" fontId="0" fillId="0" borderId="0" xfId="0" applyNumberFormat="1" applyAlignment="1">
      <alignment horizontal="right"/>
    </xf>
    <xf numFmtId="3" fontId="0" fillId="0" borderId="0" xfId="0" applyNumberFormat="1"/>
    <xf numFmtId="3" fontId="1" fillId="0" borderId="0" xfId="0" applyNumberFormat="1" applyFont="1"/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 vertical="center"/>
    </xf>
    <xf numFmtId="164" fontId="0" fillId="0" borderId="0" xfId="0" applyNumberFormat="1"/>
    <xf numFmtId="3" fontId="3" fillId="0" borderId="0" xfId="0" applyNumberFormat="1" applyFont="1"/>
    <xf numFmtId="3" fontId="4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3" fontId="0" fillId="0" borderId="0" xfId="0" applyNumberFormat="1" applyAlignment="1">
      <alignment horizontal="right" indent="1"/>
    </xf>
    <xf numFmtId="164" fontId="0" fillId="0" borderId="0" xfId="0" applyNumberFormat="1" applyAlignment="1">
      <alignment horizontal="right" indent="1"/>
    </xf>
    <xf numFmtId="3" fontId="3" fillId="0" borderId="0" xfId="0" applyNumberFormat="1" applyFont="1" applyAlignment="1">
      <alignment horizontal="right" indent="1"/>
    </xf>
    <xf numFmtId="3" fontId="0" fillId="2" borderId="0" xfId="0" applyNumberFormat="1" applyFill="1"/>
    <xf numFmtId="3" fontId="5" fillId="0" borderId="0" xfId="0" applyNumberFormat="1" applyFont="1"/>
    <xf numFmtId="3" fontId="6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right" indent="1"/>
    </xf>
    <xf numFmtId="3" fontId="1" fillId="2" borderId="0" xfId="0" applyNumberFormat="1" applyFont="1" applyFill="1"/>
    <xf numFmtId="3" fontId="1" fillId="0" borderId="0" xfId="0" applyNumberFormat="1" applyFont="1" applyAlignment="1">
      <alignment horizontal="right" indent="1"/>
    </xf>
    <xf numFmtId="165" fontId="5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right" indent="1"/>
    </xf>
    <xf numFmtId="3" fontId="1" fillId="3" borderId="0" xfId="0" applyNumberFormat="1" applyFont="1" applyFill="1"/>
    <xf numFmtId="4" fontId="0" fillId="0" borderId="0" xfId="0" applyNumberFormat="1"/>
    <xf numFmtId="4" fontId="0" fillId="0" borderId="0" xfId="0" applyNumberFormat="1" applyAlignment="1">
      <alignment horizontal="right" indent="1"/>
    </xf>
    <xf numFmtId="4" fontId="3" fillId="0" borderId="0" xfId="0" applyNumberFormat="1" applyFont="1"/>
    <xf numFmtId="4" fontId="3" fillId="0" borderId="0" xfId="0" applyNumberFormat="1" applyFont="1" applyAlignment="1">
      <alignment horizontal="right" indent="1"/>
    </xf>
    <xf numFmtId="3" fontId="0" fillId="4" borderId="0" xfId="0" applyNumberFormat="1" applyFill="1"/>
    <xf numFmtId="3" fontId="6" fillId="0" borderId="0" xfId="0" applyNumberFormat="1" applyFont="1"/>
    <xf numFmtId="3" fontId="6" fillId="0" borderId="0" xfId="0" applyNumberFormat="1" applyFont="1" applyAlignment="1">
      <alignment horizontal="right" indent="1"/>
    </xf>
    <xf numFmtId="4" fontId="6" fillId="0" borderId="0" xfId="0" applyNumberFormat="1" applyFont="1"/>
    <xf numFmtId="4" fontId="6" fillId="0" borderId="0" xfId="0" applyNumberFormat="1" applyFont="1" applyAlignment="1">
      <alignment horizontal="right" indent="1"/>
    </xf>
    <xf numFmtId="3" fontId="5" fillId="5" borderId="0" xfId="0" applyNumberFormat="1" applyFont="1" applyFill="1"/>
    <xf numFmtId="3" fontId="5" fillId="5" borderId="0" xfId="0" applyNumberFormat="1" applyFont="1" applyFill="1" applyAlignment="1">
      <alignment horizontal="right" indent="1"/>
    </xf>
    <xf numFmtId="3" fontId="7" fillId="0" borderId="0" xfId="0" applyNumberFormat="1" applyFont="1"/>
    <xf numFmtId="3" fontId="8" fillId="0" borderId="0" xfId="0" applyNumberFormat="1" applyFont="1" applyAlignment="1">
      <alignment horizontal="center" vertical="center"/>
    </xf>
    <xf numFmtId="4" fontId="7" fillId="0" borderId="0" xfId="0" applyNumberFormat="1" applyFont="1"/>
    <xf numFmtId="4" fontId="7" fillId="0" borderId="0" xfId="0" applyNumberFormat="1" applyFont="1" applyAlignment="1">
      <alignment horizontal="right" indent="1"/>
    </xf>
    <xf numFmtId="3" fontId="9" fillId="0" borderId="0" xfId="0" applyNumberFormat="1" applyFont="1"/>
    <xf numFmtId="3" fontId="10" fillId="0" borderId="0" xfId="0" applyNumberFormat="1" applyFont="1" applyAlignment="1">
      <alignment horizontal="center" vertical="center"/>
    </xf>
    <xf numFmtId="164" fontId="9" fillId="0" borderId="0" xfId="0" applyNumberFormat="1" applyFont="1"/>
    <xf numFmtId="164" fontId="9" fillId="0" borderId="0" xfId="0" applyNumberFormat="1" applyFont="1" applyAlignment="1">
      <alignment horizontal="right" indent="1"/>
    </xf>
    <xf numFmtId="4" fontId="9" fillId="0" borderId="0" xfId="0" applyNumberFormat="1" applyFont="1" applyAlignment="1">
      <alignment horizontal="right" indent="1"/>
    </xf>
    <xf numFmtId="3" fontId="0" fillId="0" borderId="1" xfId="0" applyNumberFormat="1" applyBorder="1"/>
    <xf numFmtId="3" fontId="2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right" indent="1"/>
    </xf>
    <xf numFmtId="3" fontId="0" fillId="0" borderId="2" xfId="0" applyNumberFormat="1" applyBorder="1"/>
    <xf numFmtId="3" fontId="2" fillId="0" borderId="2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right" indent="1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 indent="1"/>
    </xf>
    <xf numFmtId="3" fontId="5" fillId="0" borderId="1" xfId="0" applyNumberFormat="1" applyFont="1" applyBorder="1"/>
    <xf numFmtId="3" fontId="6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/>
    <xf numFmtId="3" fontId="5" fillId="0" borderId="1" xfId="0" applyNumberFormat="1" applyFont="1" applyBorder="1" applyAlignment="1">
      <alignment horizontal="right" indent="1"/>
    </xf>
    <xf numFmtId="3" fontId="3" fillId="0" borderId="1" xfId="0" applyNumberFormat="1" applyFont="1" applyBorder="1"/>
    <xf numFmtId="3" fontId="4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/>
    <xf numFmtId="165" fontId="3" fillId="0" borderId="1" xfId="0" applyNumberFormat="1" applyFont="1" applyBorder="1" applyAlignment="1">
      <alignment horizontal="right" indent="1"/>
    </xf>
    <xf numFmtId="3" fontId="6" fillId="0" borderId="3" xfId="0" applyNumberFormat="1" applyFont="1" applyBorder="1"/>
    <xf numFmtId="3" fontId="6" fillId="0" borderId="3" xfId="0" applyNumberFormat="1" applyFont="1" applyBorder="1" applyAlignment="1">
      <alignment horizontal="center" vertical="center"/>
    </xf>
    <xf numFmtId="4" fontId="6" fillId="0" borderId="3" xfId="0" applyNumberFormat="1" applyFont="1" applyBorder="1"/>
    <xf numFmtId="4" fontId="6" fillId="0" borderId="3" xfId="0" applyNumberFormat="1" applyFont="1" applyBorder="1" applyAlignment="1">
      <alignment horizontal="right" indent="1"/>
    </xf>
    <xf numFmtId="3" fontId="0" fillId="0" borderId="4" xfId="0" applyNumberFormat="1" applyBorder="1"/>
    <xf numFmtId="3" fontId="2" fillId="0" borderId="4" xfId="0" applyNumberFormat="1" applyFont="1" applyBorder="1" applyAlignment="1">
      <alignment horizontal="center" vertical="center"/>
    </xf>
    <xf numFmtId="3" fontId="3" fillId="0" borderId="0" xfId="0" applyNumberFormat="1" applyFont="1" applyBorder="1"/>
    <xf numFmtId="3" fontId="0" fillId="0" borderId="0" xfId="0" applyNumberFormat="1" applyBorder="1"/>
    <xf numFmtId="3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/>
    <xf numFmtId="4" fontId="3" fillId="0" borderId="0" xfId="0" applyNumberFormat="1" applyFont="1" applyBorder="1" applyAlignment="1">
      <alignment horizontal="right" indent="1"/>
    </xf>
    <xf numFmtId="3" fontId="2" fillId="0" borderId="0" xfId="0" applyNumberFormat="1" applyFont="1" applyBorder="1" applyAlignment="1">
      <alignment horizontal="center" vertical="center"/>
    </xf>
    <xf numFmtId="3" fontId="6" fillId="0" borderId="5" xfId="0" applyNumberFormat="1" applyFont="1" applyBorder="1"/>
    <xf numFmtId="3" fontId="6" fillId="0" borderId="5" xfId="0" applyNumberFormat="1" applyFont="1" applyBorder="1" applyAlignment="1">
      <alignment horizontal="center" vertical="center"/>
    </xf>
    <xf numFmtId="4" fontId="6" fillId="0" borderId="5" xfId="0" applyNumberFormat="1" applyFont="1" applyBorder="1"/>
    <xf numFmtId="4" fontId="6" fillId="0" borderId="5" xfId="0" applyNumberFormat="1" applyFont="1" applyBorder="1" applyAlignment="1">
      <alignment horizontal="right" indent="1"/>
    </xf>
    <xf numFmtId="3" fontId="0" fillId="0" borderId="6" xfId="0" applyNumberFormat="1" applyBorder="1"/>
    <xf numFmtId="3" fontId="2" fillId="0" borderId="6" xfId="0" applyNumberFormat="1" applyFont="1" applyBorder="1" applyAlignment="1">
      <alignment horizontal="center" vertical="center"/>
    </xf>
    <xf numFmtId="3" fontId="0" fillId="6" borderId="0" xfId="0" applyNumberFormat="1" applyFill="1"/>
    <xf numFmtId="3" fontId="2" fillId="6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85"/>
  <sheetViews>
    <sheetView showGridLines="0" tabSelected="1" zoomScale="90" zoomScaleNormal="90" workbookViewId="0">
      <pane xSplit="18" ySplit="9" topLeftCell="S10" activePane="bottomRight" state="frozen"/>
      <selection pane="topRight" activeCell="U1" sqref="U1"/>
      <selection pane="bottomLeft" activeCell="A11" sqref="A11"/>
      <selection pane="bottomRight"/>
    </sheetView>
  </sheetViews>
  <sheetFormatPr defaultRowHeight="14.4" x14ac:dyDescent="0.3"/>
  <cols>
    <col min="1" max="5" width="1.77734375" style="2" customWidth="1"/>
    <col min="6" max="8" width="2.77734375" style="2" customWidth="1"/>
    <col min="9" max="9" width="44.44140625" style="2" customWidth="1"/>
    <col min="10" max="10" width="10.44140625" style="2" bestFit="1" customWidth="1"/>
    <col min="11" max="11" width="1.77734375" style="6" customWidth="1"/>
    <col min="12" max="12" width="16.88671875" style="2" bestFit="1" customWidth="1"/>
    <col min="13" max="13" width="1.77734375" style="2" customWidth="1"/>
    <col min="14" max="14" width="16.6640625" style="2" bestFit="1" customWidth="1"/>
    <col min="15" max="15" width="1.77734375" style="2" customWidth="1"/>
    <col min="16" max="16" width="19.88671875" style="2" bestFit="1" customWidth="1"/>
    <col min="17" max="18" width="1.77734375" style="2" customWidth="1"/>
    <col min="19" max="25" width="11.77734375" style="2" customWidth="1"/>
    <col min="26" max="26" width="1.77734375" style="2" customWidth="1"/>
    <col min="27" max="16384" width="8.88671875" style="2"/>
  </cols>
  <sheetData>
    <row r="2" spans="2:25" x14ac:dyDescent="0.3">
      <c r="E2" s="3" t="s">
        <v>5</v>
      </c>
    </row>
    <row r="3" spans="2:25" ht="4.95" customHeight="1" x14ac:dyDescent="0.3"/>
    <row r="4" spans="2:25" x14ac:dyDescent="0.3">
      <c r="S4" s="1" t="s">
        <v>0</v>
      </c>
    </row>
    <row r="5" spans="2:25" s="3" customFormat="1" x14ac:dyDescent="0.3">
      <c r="F5" s="3" t="s">
        <v>9</v>
      </c>
      <c r="J5" s="3" t="s">
        <v>6</v>
      </c>
      <c r="K5" s="6"/>
      <c r="L5" s="3" t="s">
        <v>2</v>
      </c>
      <c r="N5" s="3" t="s">
        <v>3</v>
      </c>
      <c r="P5" s="3" t="s">
        <v>4</v>
      </c>
      <c r="R5" s="5"/>
      <c r="S5" s="4">
        <v>1</v>
      </c>
      <c r="T5" s="4">
        <f>S5+1</f>
        <v>2</v>
      </c>
      <c r="U5" s="4">
        <f t="shared" ref="U5:Y5" si="0">T5+1</f>
        <v>3</v>
      </c>
      <c r="V5" s="4">
        <f t="shared" si="0"/>
        <v>4</v>
      </c>
      <c r="W5" s="4">
        <f t="shared" si="0"/>
        <v>5</v>
      </c>
      <c r="X5" s="4">
        <f t="shared" si="0"/>
        <v>6</v>
      </c>
      <c r="Y5" s="4">
        <f t="shared" si="0"/>
        <v>7</v>
      </c>
    </row>
    <row r="6" spans="2:25" ht="4.95" customHeight="1" x14ac:dyDescent="0.3">
      <c r="F6" s="78"/>
      <c r="G6" s="78"/>
      <c r="H6" s="78"/>
      <c r="I6" s="78"/>
      <c r="J6" s="78"/>
      <c r="K6" s="79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</row>
    <row r="7" spans="2:25" x14ac:dyDescent="0.3">
      <c r="R7" s="11"/>
      <c r="S7" s="11"/>
      <c r="T7" s="11"/>
      <c r="U7" s="11"/>
      <c r="V7" s="11"/>
      <c r="W7" s="11"/>
      <c r="X7" s="11"/>
      <c r="Y7" s="11"/>
    </row>
    <row r="8" spans="2:25" s="29" customFormat="1" x14ac:dyDescent="0.3">
      <c r="B8" s="29" t="s">
        <v>71</v>
      </c>
      <c r="E8" s="23"/>
      <c r="F8" s="29" t="s">
        <v>99</v>
      </c>
      <c r="K8" s="16"/>
      <c r="L8" s="31">
        <f>SUMIFS(L$9:L$100011,$B$9:$B$100011,$B8)</f>
        <v>87.07409340453016</v>
      </c>
      <c r="M8" s="31"/>
      <c r="N8" s="31"/>
      <c r="O8" s="31"/>
      <c r="P8" s="31">
        <f>SUMIFS(P$9:P$100011,$B$9:$B$100011,$B8)</f>
        <v>87.07409340453016</v>
      </c>
      <c r="Q8" s="31"/>
      <c r="R8" s="32"/>
      <c r="S8" s="31">
        <f>SUMIFS(S$9:S$100011,$B$9:$B$100011,$B8)</f>
        <v>87.07409340453016</v>
      </c>
      <c r="T8" s="31">
        <f>SUMIFS(T$9:T$100011,$B$9:$B$100011,$B8)</f>
        <v>94.948235587899546</v>
      </c>
      <c r="U8" s="31">
        <f>SUMIFS(U$9:U$100011,$B$9:$B$100011,$B8)</f>
        <v>103.18383336862327</v>
      </c>
      <c r="V8" s="31">
        <f>SUMIFS(V$9:V$100011,$B$9:$B$100011,$B8)</f>
        <v>111.78128638698628</v>
      </c>
      <c r="W8" s="31">
        <f>SUMIFS(W$9:W$100011,$B$9:$B$100011,$B8)</f>
        <v>120.74101867410556</v>
      </c>
      <c r="X8" s="31">
        <f>SUMIFS(X$9:X$100011,$B$9:$B$100011,$B8)</f>
        <v>130.06348028297819</v>
      </c>
      <c r="Y8" s="31">
        <f>SUMIFS(Y$9:Y$100011,$B$9:$B$100011,$B8)</f>
        <v>139.74914904065213</v>
      </c>
    </row>
    <row r="9" spans="2:25" s="15" customFormat="1" ht="4.95" customHeight="1" x14ac:dyDescent="0.3">
      <c r="F9" s="33"/>
      <c r="G9" s="33"/>
      <c r="H9" s="33"/>
      <c r="K9" s="6"/>
      <c r="L9" s="33"/>
      <c r="P9" s="33"/>
      <c r="R9" s="17"/>
      <c r="S9" s="34"/>
      <c r="T9" s="34"/>
      <c r="U9" s="34"/>
      <c r="V9" s="34"/>
      <c r="W9" s="34"/>
      <c r="X9" s="34"/>
      <c r="Y9" s="34"/>
    </row>
    <row r="10" spans="2:25" x14ac:dyDescent="0.3">
      <c r="R10" s="11"/>
      <c r="S10" s="11"/>
      <c r="T10" s="11"/>
      <c r="U10" s="11"/>
      <c r="V10" s="11"/>
      <c r="W10" s="11"/>
      <c r="X10" s="11"/>
      <c r="Y10" s="11"/>
    </row>
    <row r="11" spans="2:25" x14ac:dyDescent="0.3">
      <c r="F11" s="2" t="s">
        <v>1</v>
      </c>
      <c r="K11" s="6" t="s">
        <v>11</v>
      </c>
      <c r="L11" s="2">
        <v>365</v>
      </c>
      <c r="N11" s="2">
        <v>0</v>
      </c>
      <c r="P11" s="2">
        <f>L11+N11</f>
        <v>365</v>
      </c>
      <c r="R11" s="11"/>
      <c r="S11" s="11">
        <f>$P11</f>
        <v>365</v>
      </c>
      <c r="T11" s="11">
        <f t="shared" ref="T11:Y13" si="1">$P11</f>
        <v>365</v>
      </c>
      <c r="U11" s="11">
        <f t="shared" si="1"/>
        <v>365</v>
      </c>
      <c r="V11" s="11">
        <f t="shared" si="1"/>
        <v>365</v>
      </c>
      <c r="W11" s="11">
        <f t="shared" si="1"/>
        <v>365</v>
      </c>
      <c r="X11" s="11">
        <f t="shared" si="1"/>
        <v>365</v>
      </c>
      <c r="Y11" s="11">
        <f t="shared" si="1"/>
        <v>365</v>
      </c>
    </row>
    <row r="12" spans="2:25" s="15" customFormat="1" x14ac:dyDescent="0.3">
      <c r="G12" s="15" t="s">
        <v>13</v>
      </c>
      <c r="K12" s="6" t="s">
        <v>11</v>
      </c>
      <c r="L12" s="15">
        <v>24</v>
      </c>
      <c r="P12" s="15">
        <f>L12+N12</f>
        <v>24</v>
      </c>
      <c r="R12" s="17"/>
      <c r="S12" s="17">
        <f>$P12</f>
        <v>24</v>
      </c>
      <c r="T12" s="17">
        <f t="shared" si="1"/>
        <v>24</v>
      </c>
      <c r="U12" s="17">
        <f t="shared" si="1"/>
        <v>24</v>
      </c>
      <c r="V12" s="17">
        <f t="shared" si="1"/>
        <v>24</v>
      </c>
      <c r="W12" s="17">
        <f t="shared" si="1"/>
        <v>24</v>
      </c>
      <c r="X12" s="17">
        <f t="shared" si="1"/>
        <v>24</v>
      </c>
      <c r="Y12" s="17">
        <f t="shared" si="1"/>
        <v>24</v>
      </c>
    </row>
    <row r="13" spans="2:25" x14ac:dyDescent="0.3">
      <c r="F13" s="44" t="s">
        <v>14</v>
      </c>
      <c r="G13" s="44"/>
      <c r="H13" s="44"/>
      <c r="I13" s="44"/>
      <c r="J13" s="44"/>
      <c r="K13" s="45"/>
      <c r="L13" s="44">
        <f>L11*L12</f>
        <v>8760</v>
      </c>
      <c r="M13" s="44"/>
      <c r="N13" s="44"/>
      <c r="O13" s="44"/>
      <c r="P13" s="44">
        <f>P11*P12</f>
        <v>8760</v>
      </c>
      <c r="Q13" s="44"/>
      <c r="R13" s="46"/>
      <c r="S13" s="46">
        <f>$P13</f>
        <v>8760</v>
      </c>
      <c r="T13" s="46">
        <f t="shared" si="1"/>
        <v>8760</v>
      </c>
      <c r="U13" s="46">
        <f t="shared" si="1"/>
        <v>8760</v>
      </c>
      <c r="V13" s="46">
        <f t="shared" si="1"/>
        <v>8760</v>
      </c>
      <c r="W13" s="46">
        <f t="shared" si="1"/>
        <v>8760</v>
      </c>
      <c r="X13" s="46">
        <f t="shared" si="1"/>
        <v>8760</v>
      </c>
      <c r="Y13" s="46">
        <f t="shared" si="1"/>
        <v>8760</v>
      </c>
    </row>
    <row r="14" spans="2:25" x14ac:dyDescent="0.3">
      <c r="F14" s="47"/>
      <c r="G14" s="47"/>
      <c r="H14" s="47"/>
      <c r="I14" s="47"/>
      <c r="J14" s="47"/>
      <c r="K14" s="48"/>
      <c r="L14" s="47"/>
      <c r="M14" s="47"/>
      <c r="N14" s="47"/>
      <c r="O14" s="47"/>
      <c r="P14" s="47"/>
      <c r="Q14" s="47"/>
      <c r="R14" s="49"/>
      <c r="S14" s="49"/>
      <c r="T14" s="49"/>
      <c r="U14" s="49"/>
      <c r="V14" s="49"/>
      <c r="W14" s="49"/>
      <c r="X14" s="49"/>
      <c r="Y14" s="49"/>
    </row>
    <row r="15" spans="2:25" s="3" customFormat="1" x14ac:dyDescent="0.3">
      <c r="E15" s="23"/>
      <c r="F15" s="3" t="s">
        <v>119</v>
      </c>
      <c r="K15" s="6"/>
      <c r="R15" s="19"/>
      <c r="S15" s="19"/>
      <c r="T15" s="19"/>
      <c r="U15" s="19"/>
      <c r="V15" s="19"/>
      <c r="W15" s="19"/>
      <c r="X15" s="19"/>
      <c r="Y15" s="19"/>
    </row>
    <row r="16" spans="2:25" x14ac:dyDescent="0.3">
      <c r="R16" s="11"/>
      <c r="S16" s="11"/>
      <c r="T16" s="11"/>
      <c r="U16" s="11"/>
      <c r="V16" s="11"/>
      <c r="W16" s="11"/>
      <c r="X16" s="11"/>
      <c r="Y16" s="11"/>
    </row>
    <row r="17" spans="5:25" x14ac:dyDescent="0.3">
      <c r="E17" s="14"/>
      <c r="F17" s="2" t="s">
        <v>7</v>
      </c>
      <c r="J17" s="2" t="s">
        <v>8</v>
      </c>
      <c r="K17" s="6" t="s">
        <v>11</v>
      </c>
      <c r="L17" s="7">
        <v>0.95</v>
      </c>
      <c r="N17" s="7">
        <v>0</v>
      </c>
      <c r="P17" s="7">
        <f>L17+N17</f>
        <v>0.95</v>
      </c>
      <c r="R17" s="11"/>
      <c r="S17" s="12">
        <f>$P17</f>
        <v>0.95</v>
      </c>
      <c r="T17" s="12">
        <f>$P17-$P18*(T$5-1)</f>
        <v>0.94</v>
      </c>
      <c r="U17" s="12">
        <f t="shared" ref="U17:Y17" si="2">$P17-$P18*(U$5-1)</f>
        <v>0.92999999999999994</v>
      </c>
      <c r="V17" s="12">
        <f t="shared" si="2"/>
        <v>0.91999999999999993</v>
      </c>
      <c r="W17" s="12">
        <f t="shared" si="2"/>
        <v>0.90999999999999992</v>
      </c>
      <c r="X17" s="12">
        <f t="shared" si="2"/>
        <v>0.89999999999999991</v>
      </c>
      <c r="Y17" s="12">
        <f t="shared" si="2"/>
        <v>0.8899999999999999</v>
      </c>
    </row>
    <row r="18" spans="5:25" s="8" customFormat="1" x14ac:dyDescent="0.3">
      <c r="G18" s="8" t="s">
        <v>10</v>
      </c>
      <c r="J18" s="8" t="s">
        <v>8</v>
      </c>
      <c r="K18" s="9" t="s">
        <v>11</v>
      </c>
      <c r="L18" s="10">
        <v>0.01</v>
      </c>
      <c r="N18" s="10">
        <v>0</v>
      </c>
      <c r="P18" s="10">
        <f>L18+N18</f>
        <v>0.01</v>
      </c>
      <c r="R18" s="13"/>
      <c r="S18" s="13"/>
      <c r="T18" s="13"/>
      <c r="U18" s="13"/>
      <c r="V18" s="13"/>
      <c r="W18" s="13"/>
      <c r="X18" s="13"/>
      <c r="Y18" s="13"/>
    </row>
    <row r="19" spans="5:25" x14ac:dyDescent="0.3">
      <c r="E19" s="28"/>
      <c r="F19" s="44" t="s">
        <v>12</v>
      </c>
      <c r="G19" s="44"/>
      <c r="H19" s="44"/>
      <c r="I19" s="44"/>
      <c r="J19" s="44" t="s">
        <v>8</v>
      </c>
      <c r="K19" s="45"/>
      <c r="L19" s="50">
        <f>100%-L17</f>
        <v>5.0000000000000044E-2</v>
      </c>
      <c r="M19" s="44"/>
      <c r="N19" s="50"/>
      <c r="O19" s="44"/>
      <c r="P19" s="50">
        <f>100%-P17</f>
        <v>5.0000000000000044E-2</v>
      </c>
      <c r="Q19" s="44"/>
      <c r="R19" s="46"/>
      <c r="S19" s="51">
        <f t="shared" ref="S19:Y19" si="3">100%-S17</f>
        <v>5.0000000000000044E-2</v>
      </c>
      <c r="T19" s="51">
        <f>100%-T17</f>
        <v>6.0000000000000053E-2</v>
      </c>
      <c r="U19" s="51">
        <f t="shared" si="3"/>
        <v>7.0000000000000062E-2</v>
      </c>
      <c r="V19" s="51">
        <f t="shared" si="3"/>
        <v>8.0000000000000071E-2</v>
      </c>
      <c r="W19" s="51">
        <f t="shared" si="3"/>
        <v>9.000000000000008E-2</v>
      </c>
      <c r="X19" s="51">
        <f t="shared" si="3"/>
        <v>0.10000000000000009</v>
      </c>
      <c r="Y19" s="51">
        <f t="shared" si="3"/>
        <v>0.1100000000000001</v>
      </c>
    </row>
    <row r="20" spans="5:25" x14ac:dyDescent="0.3">
      <c r="F20" s="47"/>
      <c r="G20" s="47"/>
      <c r="H20" s="47"/>
      <c r="I20" s="47"/>
      <c r="J20" s="47"/>
      <c r="K20" s="48"/>
      <c r="L20" s="47"/>
      <c r="M20" s="47"/>
      <c r="N20" s="47"/>
      <c r="O20" s="47"/>
      <c r="P20" s="47"/>
      <c r="Q20" s="47"/>
      <c r="R20" s="49"/>
      <c r="S20" s="49"/>
      <c r="T20" s="49"/>
      <c r="U20" s="49"/>
      <c r="V20" s="49"/>
      <c r="W20" s="49"/>
      <c r="X20" s="49"/>
      <c r="Y20" s="49"/>
    </row>
    <row r="21" spans="5:25" s="3" customFormat="1" x14ac:dyDescent="0.3">
      <c r="E21" s="18"/>
      <c r="F21" s="3" t="s">
        <v>16</v>
      </c>
      <c r="K21" s="6"/>
      <c r="R21" s="19"/>
      <c r="S21" s="19"/>
      <c r="T21" s="19"/>
      <c r="U21" s="19"/>
      <c r="V21" s="19"/>
      <c r="W21" s="19"/>
      <c r="X21" s="19"/>
      <c r="Y21" s="19"/>
    </row>
    <row r="22" spans="5:25" x14ac:dyDescent="0.3">
      <c r="F22" s="2" t="s">
        <v>15</v>
      </c>
      <c r="J22" s="2" t="s">
        <v>8</v>
      </c>
      <c r="K22" s="6" t="s">
        <v>11</v>
      </c>
      <c r="L22" s="7">
        <v>0.4</v>
      </c>
      <c r="N22" s="7">
        <v>0</v>
      </c>
      <c r="P22" s="7">
        <f>L22+N22</f>
        <v>0.4</v>
      </c>
      <c r="R22" s="11"/>
      <c r="S22" s="12">
        <f>$P22</f>
        <v>0.4</v>
      </c>
      <c r="T22" s="12">
        <f t="shared" ref="T22:Y25" si="4">$P22</f>
        <v>0.4</v>
      </c>
      <c r="U22" s="12">
        <f t="shared" si="4"/>
        <v>0.4</v>
      </c>
      <c r="V22" s="12">
        <f t="shared" si="4"/>
        <v>0.4</v>
      </c>
      <c r="W22" s="12">
        <f t="shared" si="4"/>
        <v>0.4</v>
      </c>
      <c r="X22" s="12">
        <f t="shared" si="4"/>
        <v>0.4</v>
      </c>
      <c r="Y22" s="12">
        <f t="shared" si="4"/>
        <v>0.4</v>
      </c>
    </row>
    <row r="23" spans="5:25" x14ac:dyDescent="0.3">
      <c r="F23" s="2" t="s">
        <v>17</v>
      </c>
      <c r="J23" s="2" t="s">
        <v>8</v>
      </c>
      <c r="K23" s="6" t="s">
        <v>11</v>
      </c>
      <c r="L23" s="7">
        <v>0.2</v>
      </c>
      <c r="N23" s="7">
        <v>0</v>
      </c>
      <c r="P23" s="7">
        <f>L23+N23</f>
        <v>0.2</v>
      </c>
      <c r="R23" s="11"/>
      <c r="S23" s="12">
        <f>$P23</f>
        <v>0.2</v>
      </c>
      <c r="T23" s="12">
        <f t="shared" si="4"/>
        <v>0.2</v>
      </c>
      <c r="U23" s="12">
        <f t="shared" si="4"/>
        <v>0.2</v>
      </c>
      <c r="V23" s="12">
        <f t="shared" si="4"/>
        <v>0.2</v>
      </c>
      <c r="W23" s="12">
        <f t="shared" si="4"/>
        <v>0.2</v>
      </c>
      <c r="X23" s="12">
        <f t="shared" si="4"/>
        <v>0.2</v>
      </c>
      <c r="Y23" s="12">
        <f t="shared" si="4"/>
        <v>0.2</v>
      </c>
    </row>
    <row r="24" spans="5:25" x14ac:dyDescent="0.3">
      <c r="F24" s="2" t="s">
        <v>18</v>
      </c>
      <c r="J24" s="2" t="s">
        <v>8</v>
      </c>
      <c r="K24" s="6" t="s">
        <v>11</v>
      </c>
      <c r="L24" s="7">
        <v>0.3</v>
      </c>
      <c r="N24" s="7">
        <v>0</v>
      </c>
      <c r="P24" s="7">
        <f>L24+N24</f>
        <v>0.3</v>
      </c>
      <c r="R24" s="11"/>
      <c r="S24" s="12">
        <f>$P24</f>
        <v>0.3</v>
      </c>
      <c r="T24" s="12">
        <f t="shared" si="4"/>
        <v>0.3</v>
      </c>
      <c r="U24" s="12">
        <f t="shared" si="4"/>
        <v>0.3</v>
      </c>
      <c r="V24" s="12">
        <f t="shared" si="4"/>
        <v>0.3</v>
      </c>
      <c r="W24" s="12">
        <f t="shared" si="4"/>
        <v>0.3</v>
      </c>
      <c r="X24" s="12">
        <f t="shared" si="4"/>
        <v>0.3</v>
      </c>
      <c r="Y24" s="12">
        <f t="shared" si="4"/>
        <v>0.3</v>
      </c>
    </row>
    <row r="25" spans="5:25" x14ac:dyDescent="0.3">
      <c r="F25" s="2" t="s">
        <v>19</v>
      </c>
      <c r="J25" s="2" t="s">
        <v>8</v>
      </c>
      <c r="K25" s="6" t="s">
        <v>11</v>
      </c>
      <c r="L25" s="7">
        <v>0.05</v>
      </c>
      <c r="N25" s="7">
        <v>0</v>
      </c>
      <c r="P25" s="7">
        <f>L25+N25</f>
        <v>0.05</v>
      </c>
      <c r="R25" s="11"/>
      <c r="S25" s="12">
        <f>$P25</f>
        <v>0.05</v>
      </c>
      <c r="T25" s="12">
        <f t="shared" si="4"/>
        <v>0.05</v>
      </c>
      <c r="U25" s="12">
        <f t="shared" si="4"/>
        <v>0.05</v>
      </c>
      <c r="V25" s="12">
        <f t="shared" si="4"/>
        <v>0.05</v>
      </c>
      <c r="W25" s="12">
        <f t="shared" si="4"/>
        <v>0.05</v>
      </c>
      <c r="X25" s="12">
        <f t="shared" si="4"/>
        <v>0.05</v>
      </c>
      <c r="Y25" s="12">
        <f t="shared" si="4"/>
        <v>0.05</v>
      </c>
    </row>
    <row r="26" spans="5:25" x14ac:dyDescent="0.3">
      <c r="F26" s="44" t="s">
        <v>20</v>
      </c>
      <c r="G26" s="44"/>
      <c r="H26" s="44"/>
      <c r="I26" s="44"/>
      <c r="J26" s="44" t="s">
        <v>8</v>
      </c>
      <c r="K26" s="45"/>
      <c r="L26" s="50">
        <f>100%-SUM(L22:L25)</f>
        <v>4.9999999999999822E-2</v>
      </c>
      <c r="M26" s="44"/>
      <c r="N26" s="50"/>
      <c r="O26" s="44"/>
      <c r="P26" s="50">
        <f>100%-SUM(P22:P25)</f>
        <v>4.9999999999999822E-2</v>
      </c>
      <c r="Q26" s="44"/>
      <c r="R26" s="46"/>
      <c r="S26" s="51">
        <f t="shared" ref="S26:Y26" si="5">100%-SUM(S22:S25)</f>
        <v>4.9999999999999822E-2</v>
      </c>
      <c r="T26" s="51">
        <f t="shared" si="5"/>
        <v>4.9999999999999822E-2</v>
      </c>
      <c r="U26" s="51">
        <f t="shared" si="5"/>
        <v>4.9999999999999822E-2</v>
      </c>
      <c r="V26" s="51">
        <f t="shared" si="5"/>
        <v>4.9999999999999822E-2</v>
      </c>
      <c r="W26" s="51">
        <f t="shared" si="5"/>
        <v>4.9999999999999822E-2</v>
      </c>
      <c r="X26" s="51">
        <f t="shared" si="5"/>
        <v>4.9999999999999822E-2</v>
      </c>
      <c r="Y26" s="51">
        <f t="shared" si="5"/>
        <v>4.9999999999999822E-2</v>
      </c>
    </row>
    <row r="27" spans="5:25" x14ac:dyDescent="0.3">
      <c r="F27" s="47"/>
      <c r="G27" s="47"/>
      <c r="H27" s="47"/>
      <c r="I27" s="47"/>
      <c r="J27" s="47"/>
      <c r="K27" s="48"/>
      <c r="L27" s="47"/>
      <c r="M27" s="47"/>
      <c r="N27" s="47"/>
      <c r="O27" s="47"/>
      <c r="P27" s="47"/>
      <c r="Q27" s="47"/>
      <c r="R27" s="49"/>
      <c r="S27" s="49"/>
      <c r="T27" s="49"/>
      <c r="U27" s="49"/>
      <c r="V27" s="49"/>
      <c r="W27" s="49"/>
      <c r="X27" s="49"/>
      <c r="Y27" s="49"/>
    </row>
    <row r="28" spans="5:25" s="3" customFormat="1" x14ac:dyDescent="0.3">
      <c r="E28" s="18"/>
      <c r="F28" s="3" t="s">
        <v>21</v>
      </c>
      <c r="K28" s="6"/>
      <c r="R28" s="19"/>
      <c r="S28" s="19"/>
      <c r="T28" s="19"/>
      <c r="U28" s="19"/>
      <c r="V28" s="19"/>
      <c r="W28" s="19"/>
      <c r="X28" s="19"/>
      <c r="Y28" s="19"/>
    </row>
    <row r="29" spans="5:25" x14ac:dyDescent="0.3">
      <c r="F29" s="2" t="s">
        <v>23</v>
      </c>
      <c r="J29" s="2" t="s">
        <v>22</v>
      </c>
      <c r="L29" s="2">
        <f>L$11*L$17*L22</f>
        <v>138.70000000000002</v>
      </c>
      <c r="P29" s="2">
        <f>P$11*P$17*P22</f>
        <v>138.70000000000002</v>
      </c>
      <c r="R29" s="11"/>
      <c r="S29" s="2">
        <f t="shared" ref="S29:Y29" si="6">S$11*S$17*S22</f>
        <v>138.70000000000002</v>
      </c>
      <c r="T29" s="2">
        <f t="shared" si="6"/>
        <v>137.23999999999998</v>
      </c>
      <c r="U29" s="2">
        <f t="shared" si="6"/>
        <v>135.78</v>
      </c>
      <c r="V29" s="2">
        <f t="shared" si="6"/>
        <v>134.32</v>
      </c>
      <c r="W29" s="2">
        <f t="shared" si="6"/>
        <v>132.85999999999999</v>
      </c>
      <c r="X29" s="2">
        <f t="shared" si="6"/>
        <v>131.39999999999998</v>
      </c>
      <c r="Y29" s="2">
        <f t="shared" si="6"/>
        <v>129.94</v>
      </c>
    </row>
    <row r="30" spans="5:25" s="15" customFormat="1" x14ac:dyDescent="0.3">
      <c r="G30" s="15" t="s">
        <v>41</v>
      </c>
      <c r="J30" s="15" t="s">
        <v>28</v>
      </c>
      <c r="K30" s="16"/>
      <c r="L30" s="20">
        <f>L$12*L$17*L22</f>
        <v>9.1199999999999992</v>
      </c>
      <c r="N30" s="20"/>
      <c r="P30" s="20">
        <f>P$12*P$17*P22</f>
        <v>9.1199999999999992</v>
      </c>
      <c r="R30" s="17"/>
      <c r="S30" s="20">
        <f t="shared" ref="S30:Y30" si="7">S$12*S$17*S22</f>
        <v>9.1199999999999992</v>
      </c>
      <c r="T30" s="20">
        <f t="shared" si="7"/>
        <v>9.0239999999999991</v>
      </c>
      <c r="U30" s="20">
        <f t="shared" si="7"/>
        <v>8.9280000000000008</v>
      </c>
      <c r="V30" s="20">
        <f t="shared" si="7"/>
        <v>8.831999999999999</v>
      </c>
      <c r="W30" s="20">
        <f t="shared" si="7"/>
        <v>8.7359999999999989</v>
      </c>
      <c r="X30" s="20">
        <f t="shared" si="7"/>
        <v>8.6399999999999988</v>
      </c>
      <c r="Y30" s="20">
        <f t="shared" si="7"/>
        <v>8.5440000000000005</v>
      </c>
    </row>
    <row r="31" spans="5:25" x14ac:dyDescent="0.3">
      <c r="F31" s="2" t="s">
        <v>24</v>
      </c>
      <c r="J31" s="2" t="s">
        <v>22</v>
      </c>
      <c r="L31" s="2">
        <f>L$11*L$17*L23</f>
        <v>69.350000000000009</v>
      </c>
      <c r="P31" s="2">
        <f>P$11*P$17*P23</f>
        <v>69.350000000000009</v>
      </c>
      <c r="R31" s="11"/>
      <c r="S31" s="2">
        <f t="shared" ref="S31:Y31" si="8">S$11*S$17*S23</f>
        <v>69.350000000000009</v>
      </c>
      <c r="T31" s="2">
        <f t="shared" si="8"/>
        <v>68.61999999999999</v>
      </c>
      <c r="U31" s="2">
        <f t="shared" si="8"/>
        <v>67.89</v>
      </c>
      <c r="V31" s="2">
        <f t="shared" si="8"/>
        <v>67.16</v>
      </c>
      <c r="W31" s="2">
        <f t="shared" si="8"/>
        <v>66.429999999999993</v>
      </c>
      <c r="X31" s="2">
        <f t="shared" si="8"/>
        <v>65.699999999999989</v>
      </c>
      <c r="Y31" s="2">
        <f t="shared" si="8"/>
        <v>64.97</v>
      </c>
    </row>
    <row r="32" spans="5:25" s="15" customFormat="1" x14ac:dyDescent="0.3">
      <c r="G32" s="15" t="s">
        <v>72</v>
      </c>
      <c r="J32" s="15" t="s">
        <v>28</v>
      </c>
      <c r="K32" s="16"/>
      <c r="L32" s="20">
        <f>L$12*L$17*L23</f>
        <v>4.5599999999999996</v>
      </c>
      <c r="N32" s="20"/>
      <c r="P32" s="20">
        <f>P$12*P$17*P23</f>
        <v>4.5599999999999996</v>
      </c>
      <c r="R32" s="17"/>
      <c r="S32" s="20">
        <f t="shared" ref="S32:Y32" si="9">S$12*S$17*S23</f>
        <v>4.5599999999999996</v>
      </c>
      <c r="T32" s="20">
        <f t="shared" si="9"/>
        <v>4.5119999999999996</v>
      </c>
      <c r="U32" s="20">
        <f t="shared" si="9"/>
        <v>4.4640000000000004</v>
      </c>
      <c r="V32" s="20">
        <f t="shared" si="9"/>
        <v>4.4159999999999995</v>
      </c>
      <c r="W32" s="20">
        <f t="shared" si="9"/>
        <v>4.3679999999999994</v>
      </c>
      <c r="X32" s="20">
        <f t="shared" si="9"/>
        <v>4.3199999999999994</v>
      </c>
      <c r="Y32" s="20">
        <f t="shared" si="9"/>
        <v>4.2720000000000002</v>
      </c>
    </row>
    <row r="33" spans="5:25" x14ac:dyDescent="0.3">
      <c r="F33" s="2" t="s">
        <v>25</v>
      </c>
      <c r="J33" s="2" t="s">
        <v>22</v>
      </c>
      <c r="L33" s="2">
        <f>L$11*L$17*L24</f>
        <v>104.02499999999999</v>
      </c>
      <c r="P33" s="2">
        <f>P$11*P$17*P24</f>
        <v>104.02499999999999</v>
      </c>
      <c r="R33" s="11"/>
      <c r="S33" s="2">
        <f t="shared" ref="S33:Y33" si="10">S$11*S$17*S24</f>
        <v>104.02499999999999</v>
      </c>
      <c r="T33" s="2">
        <f t="shared" si="10"/>
        <v>102.92999999999999</v>
      </c>
      <c r="U33" s="2">
        <f t="shared" si="10"/>
        <v>101.83499999999999</v>
      </c>
      <c r="V33" s="2">
        <f t="shared" si="10"/>
        <v>100.73999999999998</v>
      </c>
      <c r="W33" s="2">
        <f t="shared" si="10"/>
        <v>99.644999999999996</v>
      </c>
      <c r="X33" s="2">
        <f t="shared" si="10"/>
        <v>98.549999999999983</v>
      </c>
      <c r="Y33" s="2">
        <f t="shared" si="10"/>
        <v>97.454999999999984</v>
      </c>
    </row>
    <row r="34" spans="5:25" s="15" customFormat="1" x14ac:dyDescent="0.3">
      <c r="G34" s="15" t="s">
        <v>73</v>
      </c>
      <c r="J34" s="15" t="s">
        <v>28</v>
      </c>
      <c r="K34" s="16"/>
      <c r="L34" s="20">
        <f>L$12*L$17*L24</f>
        <v>6.839999999999999</v>
      </c>
      <c r="N34" s="20"/>
      <c r="P34" s="20">
        <f>P$12*P$17*P24</f>
        <v>6.839999999999999</v>
      </c>
      <c r="R34" s="17"/>
      <c r="S34" s="20">
        <f t="shared" ref="S34:Y34" si="11">S$12*S$17*S24</f>
        <v>6.839999999999999</v>
      </c>
      <c r="T34" s="20">
        <f t="shared" si="11"/>
        <v>6.7679999999999998</v>
      </c>
      <c r="U34" s="20">
        <f t="shared" si="11"/>
        <v>6.6959999999999997</v>
      </c>
      <c r="V34" s="20">
        <f t="shared" si="11"/>
        <v>6.6239999999999997</v>
      </c>
      <c r="W34" s="20">
        <f t="shared" si="11"/>
        <v>6.5519999999999987</v>
      </c>
      <c r="X34" s="20">
        <f t="shared" si="11"/>
        <v>6.4799999999999995</v>
      </c>
      <c r="Y34" s="20">
        <f t="shared" si="11"/>
        <v>6.4079999999999995</v>
      </c>
    </row>
    <row r="35" spans="5:25" x14ac:dyDescent="0.3">
      <c r="F35" s="2" t="s">
        <v>26</v>
      </c>
      <c r="J35" s="2" t="s">
        <v>22</v>
      </c>
      <c r="L35" s="2">
        <f>L$11*L$17*L25</f>
        <v>17.337500000000002</v>
      </c>
      <c r="P35" s="2">
        <f>P$11*P$17*P25</f>
        <v>17.337500000000002</v>
      </c>
      <c r="R35" s="11"/>
      <c r="S35" s="2">
        <f t="shared" ref="S35:Y35" si="12">S$11*S$17*S25</f>
        <v>17.337500000000002</v>
      </c>
      <c r="T35" s="2">
        <f t="shared" si="12"/>
        <v>17.154999999999998</v>
      </c>
      <c r="U35" s="2">
        <f t="shared" si="12"/>
        <v>16.9725</v>
      </c>
      <c r="V35" s="2">
        <f t="shared" si="12"/>
        <v>16.79</v>
      </c>
      <c r="W35" s="2">
        <f t="shared" si="12"/>
        <v>16.607499999999998</v>
      </c>
      <c r="X35" s="2">
        <f t="shared" si="12"/>
        <v>16.424999999999997</v>
      </c>
      <c r="Y35" s="2">
        <f t="shared" si="12"/>
        <v>16.2425</v>
      </c>
    </row>
    <row r="36" spans="5:25" s="15" customFormat="1" x14ac:dyDescent="0.3">
      <c r="G36" s="15" t="s">
        <v>74</v>
      </c>
      <c r="J36" s="15" t="s">
        <v>28</v>
      </c>
      <c r="K36" s="16"/>
      <c r="L36" s="20">
        <f>L$12*L$17*L25</f>
        <v>1.1399999999999999</v>
      </c>
      <c r="N36" s="20"/>
      <c r="P36" s="20">
        <f>P$12*P$17*P25</f>
        <v>1.1399999999999999</v>
      </c>
      <c r="R36" s="17"/>
      <c r="S36" s="20">
        <f t="shared" ref="S36:Y36" si="13">S$12*S$17*S25</f>
        <v>1.1399999999999999</v>
      </c>
      <c r="T36" s="20">
        <f t="shared" si="13"/>
        <v>1.1279999999999999</v>
      </c>
      <c r="U36" s="20">
        <f t="shared" si="13"/>
        <v>1.1160000000000001</v>
      </c>
      <c r="V36" s="20">
        <f t="shared" si="13"/>
        <v>1.1039999999999999</v>
      </c>
      <c r="W36" s="20">
        <f t="shared" si="13"/>
        <v>1.0919999999999999</v>
      </c>
      <c r="X36" s="20">
        <f t="shared" si="13"/>
        <v>1.0799999999999998</v>
      </c>
      <c r="Y36" s="20">
        <f t="shared" si="13"/>
        <v>1.0680000000000001</v>
      </c>
    </row>
    <row r="37" spans="5:25" x14ac:dyDescent="0.3">
      <c r="F37" s="2" t="s">
        <v>27</v>
      </c>
      <c r="J37" s="2" t="s">
        <v>22</v>
      </c>
      <c r="L37" s="2">
        <f>L$11*L$17*L26</f>
        <v>17.337499999999938</v>
      </c>
      <c r="P37" s="2">
        <f>P$11*P$17*P26</f>
        <v>17.337499999999938</v>
      </c>
      <c r="R37" s="11"/>
      <c r="S37" s="2">
        <f t="shared" ref="S37:Y37" si="14">S$11*S$17*S26</f>
        <v>17.337499999999938</v>
      </c>
      <c r="T37" s="2">
        <f t="shared" si="14"/>
        <v>17.154999999999937</v>
      </c>
      <c r="U37" s="2">
        <f t="shared" si="14"/>
        <v>16.97249999999994</v>
      </c>
      <c r="V37" s="2">
        <f t="shared" si="14"/>
        <v>16.789999999999939</v>
      </c>
      <c r="W37" s="2">
        <f t="shared" si="14"/>
        <v>16.607499999999941</v>
      </c>
      <c r="X37" s="2">
        <f t="shared" si="14"/>
        <v>16.42499999999994</v>
      </c>
      <c r="Y37" s="2">
        <f t="shared" si="14"/>
        <v>16.242499999999939</v>
      </c>
    </row>
    <row r="38" spans="5:25" s="15" customFormat="1" x14ac:dyDescent="0.3">
      <c r="F38" s="52"/>
      <c r="G38" s="52" t="s">
        <v>75</v>
      </c>
      <c r="H38" s="52"/>
      <c r="I38" s="52"/>
      <c r="J38" s="52" t="s">
        <v>28</v>
      </c>
      <c r="K38" s="53"/>
      <c r="L38" s="54">
        <f>L$12*L$17*L26</f>
        <v>1.1399999999999959</v>
      </c>
      <c r="M38" s="52"/>
      <c r="N38" s="54"/>
      <c r="O38" s="52"/>
      <c r="P38" s="54">
        <f>P$12*P$17*P26</f>
        <v>1.1399999999999959</v>
      </c>
      <c r="Q38" s="52"/>
      <c r="R38" s="55"/>
      <c r="S38" s="54">
        <f t="shared" ref="S38:Y38" si="15">S$12*S$17*S26</f>
        <v>1.1399999999999959</v>
      </c>
      <c r="T38" s="54">
        <f t="shared" si="15"/>
        <v>1.1279999999999959</v>
      </c>
      <c r="U38" s="54">
        <f t="shared" si="15"/>
        <v>1.1159999999999961</v>
      </c>
      <c r="V38" s="54">
        <f t="shared" si="15"/>
        <v>1.1039999999999961</v>
      </c>
      <c r="W38" s="54">
        <f t="shared" si="15"/>
        <v>1.0919999999999959</v>
      </c>
      <c r="X38" s="54">
        <f t="shared" si="15"/>
        <v>1.0799999999999961</v>
      </c>
      <c r="Y38" s="54">
        <f t="shared" si="15"/>
        <v>1.0679999999999963</v>
      </c>
    </row>
    <row r="39" spans="5:25" x14ac:dyDescent="0.3">
      <c r="F39" s="47"/>
      <c r="G39" s="47"/>
      <c r="H39" s="47"/>
      <c r="I39" s="47"/>
      <c r="J39" s="47"/>
      <c r="K39" s="48"/>
      <c r="L39" s="47"/>
      <c r="M39" s="47"/>
      <c r="N39" s="47"/>
      <c r="O39" s="47"/>
      <c r="P39" s="47"/>
      <c r="Q39" s="47"/>
      <c r="R39" s="49"/>
      <c r="S39" s="49"/>
      <c r="T39" s="49"/>
      <c r="U39" s="49"/>
      <c r="V39" s="49"/>
      <c r="W39" s="49"/>
      <c r="X39" s="49"/>
      <c r="Y39" s="49"/>
    </row>
    <row r="40" spans="5:25" s="3" customFormat="1" x14ac:dyDescent="0.3">
      <c r="E40" s="18"/>
      <c r="F40" s="3" t="s">
        <v>29</v>
      </c>
      <c r="K40" s="6"/>
      <c r="R40" s="19"/>
      <c r="S40" s="19"/>
      <c r="T40" s="19"/>
      <c r="U40" s="19"/>
      <c r="V40" s="19"/>
      <c r="W40" s="19"/>
      <c r="X40" s="19"/>
      <c r="Y40" s="19"/>
    </row>
    <row r="41" spans="5:25" x14ac:dyDescent="0.3">
      <c r="F41" s="2" t="s">
        <v>30</v>
      </c>
      <c r="J41" s="2" t="s">
        <v>33</v>
      </c>
      <c r="K41" s="6" t="s">
        <v>11</v>
      </c>
      <c r="L41" s="2">
        <v>50</v>
      </c>
      <c r="N41" s="2">
        <v>0</v>
      </c>
      <c r="P41" s="2">
        <f t="shared" ref="P41:P43" si="16">L41+N41</f>
        <v>50</v>
      </c>
      <c r="R41" s="11"/>
      <c r="S41" s="11">
        <f t="shared" ref="S41:Y43" si="17">$P41</f>
        <v>50</v>
      </c>
      <c r="T41" s="11">
        <f t="shared" si="17"/>
        <v>50</v>
      </c>
      <c r="U41" s="11">
        <f t="shared" si="17"/>
        <v>50</v>
      </c>
      <c r="V41" s="11">
        <f t="shared" si="17"/>
        <v>50</v>
      </c>
      <c r="W41" s="11">
        <f t="shared" si="17"/>
        <v>50</v>
      </c>
      <c r="X41" s="11">
        <f t="shared" si="17"/>
        <v>50</v>
      </c>
      <c r="Y41" s="11">
        <f t="shared" si="17"/>
        <v>50</v>
      </c>
    </row>
    <row r="42" spans="5:25" x14ac:dyDescent="0.3">
      <c r="F42" s="2" t="s">
        <v>31</v>
      </c>
      <c r="J42" s="2" t="s">
        <v>33</v>
      </c>
      <c r="K42" s="6" t="s">
        <v>11</v>
      </c>
      <c r="L42" s="2">
        <v>60</v>
      </c>
      <c r="N42" s="2">
        <v>0</v>
      </c>
      <c r="P42" s="2">
        <f t="shared" si="16"/>
        <v>60</v>
      </c>
      <c r="R42" s="11"/>
      <c r="S42" s="11">
        <f t="shared" si="17"/>
        <v>60</v>
      </c>
      <c r="T42" s="11">
        <f t="shared" si="17"/>
        <v>60</v>
      </c>
      <c r="U42" s="11">
        <f t="shared" si="17"/>
        <v>60</v>
      </c>
      <c r="V42" s="11">
        <f t="shared" si="17"/>
        <v>60</v>
      </c>
      <c r="W42" s="11">
        <f t="shared" si="17"/>
        <v>60</v>
      </c>
      <c r="X42" s="11">
        <f t="shared" si="17"/>
        <v>60</v>
      </c>
      <c r="Y42" s="11">
        <f t="shared" si="17"/>
        <v>60</v>
      </c>
    </row>
    <row r="43" spans="5:25" x14ac:dyDescent="0.3">
      <c r="F43" s="44" t="s">
        <v>32</v>
      </c>
      <c r="G43" s="44"/>
      <c r="H43" s="44"/>
      <c r="I43" s="44"/>
      <c r="J43" s="44" t="s">
        <v>33</v>
      </c>
      <c r="K43" s="45" t="s">
        <v>11</v>
      </c>
      <c r="L43" s="44">
        <v>65</v>
      </c>
      <c r="M43" s="44"/>
      <c r="N43" s="44">
        <v>0</v>
      </c>
      <c r="O43" s="44"/>
      <c r="P43" s="44">
        <f t="shared" si="16"/>
        <v>65</v>
      </c>
      <c r="Q43" s="44"/>
      <c r="R43" s="46"/>
      <c r="S43" s="46">
        <f t="shared" si="17"/>
        <v>65</v>
      </c>
      <c r="T43" s="46">
        <f t="shared" si="17"/>
        <v>65</v>
      </c>
      <c r="U43" s="46">
        <f t="shared" si="17"/>
        <v>65</v>
      </c>
      <c r="V43" s="46">
        <f t="shared" si="17"/>
        <v>65</v>
      </c>
      <c r="W43" s="46">
        <f t="shared" si="17"/>
        <v>65</v>
      </c>
      <c r="X43" s="46">
        <f t="shared" si="17"/>
        <v>65</v>
      </c>
      <c r="Y43" s="46">
        <f t="shared" si="17"/>
        <v>65</v>
      </c>
    </row>
    <row r="44" spans="5:25" x14ac:dyDescent="0.3">
      <c r="F44" s="47"/>
      <c r="G44" s="47"/>
      <c r="H44" s="47"/>
      <c r="I44" s="47"/>
      <c r="J44" s="47"/>
      <c r="K44" s="48"/>
      <c r="L44" s="47"/>
      <c r="M44" s="47"/>
      <c r="N44" s="47"/>
      <c r="O44" s="47"/>
      <c r="P44" s="47"/>
      <c r="Q44" s="47"/>
      <c r="R44" s="49"/>
      <c r="S44" s="49"/>
      <c r="T44" s="49"/>
      <c r="U44" s="49"/>
      <c r="V44" s="49"/>
      <c r="W44" s="49"/>
      <c r="X44" s="49"/>
      <c r="Y44" s="49"/>
    </row>
    <row r="45" spans="5:25" s="3" customFormat="1" x14ac:dyDescent="0.3">
      <c r="E45" s="18"/>
      <c r="F45" s="3" t="s">
        <v>34</v>
      </c>
      <c r="K45" s="6"/>
      <c r="R45" s="19"/>
      <c r="S45" s="19"/>
      <c r="T45" s="19"/>
      <c r="U45" s="19"/>
      <c r="V45" s="19"/>
      <c r="W45" s="19"/>
      <c r="X45" s="19"/>
      <c r="Y45" s="19"/>
    </row>
    <row r="46" spans="5:25" x14ac:dyDescent="0.3">
      <c r="F46" s="2" t="s">
        <v>37</v>
      </c>
      <c r="J46" s="2" t="s">
        <v>35</v>
      </c>
      <c r="L46" s="2">
        <f>L$12*L29*L41</f>
        <v>166440</v>
      </c>
      <c r="P46" s="2">
        <f>P$12*P29*P41</f>
        <v>166440</v>
      </c>
      <c r="R46" s="11"/>
      <c r="S46" s="2">
        <f t="shared" ref="S46:Y46" si="18">S$12*S29*S41</f>
        <v>166440</v>
      </c>
      <c r="T46" s="2">
        <f t="shared" si="18"/>
        <v>164687.99999999997</v>
      </c>
      <c r="U46" s="2">
        <f t="shared" si="18"/>
        <v>162936</v>
      </c>
      <c r="V46" s="2">
        <f t="shared" si="18"/>
        <v>161184</v>
      </c>
      <c r="W46" s="2">
        <f t="shared" si="18"/>
        <v>159431.99999999997</v>
      </c>
      <c r="X46" s="2">
        <f t="shared" si="18"/>
        <v>157679.99999999997</v>
      </c>
      <c r="Y46" s="2">
        <f t="shared" si="18"/>
        <v>155928</v>
      </c>
    </row>
    <row r="47" spans="5:25" s="15" customFormat="1" x14ac:dyDescent="0.3">
      <c r="G47" s="15" t="s">
        <v>40</v>
      </c>
      <c r="J47" s="15" t="s">
        <v>36</v>
      </c>
      <c r="K47" s="16"/>
      <c r="L47" s="20">
        <f>L30*L41</f>
        <v>455.99999999999994</v>
      </c>
      <c r="N47" s="20"/>
      <c r="P47" s="20">
        <f>P30*P41</f>
        <v>455.99999999999994</v>
      </c>
      <c r="R47" s="17"/>
      <c r="S47" s="20">
        <f t="shared" ref="S47:Y47" si="19">S30*S41</f>
        <v>455.99999999999994</v>
      </c>
      <c r="T47" s="20">
        <f t="shared" si="19"/>
        <v>451.19999999999993</v>
      </c>
      <c r="U47" s="20">
        <f t="shared" si="19"/>
        <v>446.40000000000003</v>
      </c>
      <c r="V47" s="20">
        <f t="shared" si="19"/>
        <v>441.59999999999997</v>
      </c>
      <c r="W47" s="20">
        <f t="shared" si="19"/>
        <v>436.79999999999995</v>
      </c>
      <c r="X47" s="20">
        <f t="shared" si="19"/>
        <v>431.99999999999994</v>
      </c>
      <c r="Y47" s="20">
        <f t="shared" si="19"/>
        <v>427.20000000000005</v>
      </c>
    </row>
    <row r="48" spans="5:25" x14ac:dyDescent="0.3">
      <c r="F48" s="2" t="s">
        <v>38</v>
      </c>
      <c r="J48" s="2" t="s">
        <v>35</v>
      </c>
      <c r="L48" s="2">
        <f>L$12*L31*L42</f>
        <v>99864</v>
      </c>
      <c r="P48" s="2">
        <f>P$12*P31*P42</f>
        <v>99864</v>
      </c>
      <c r="R48" s="11"/>
      <c r="S48" s="2">
        <f t="shared" ref="S48:Y48" si="20">S$12*S31*S42</f>
        <v>99864</v>
      </c>
      <c r="T48" s="2">
        <f t="shared" si="20"/>
        <v>98812.799999999974</v>
      </c>
      <c r="U48" s="2">
        <f t="shared" si="20"/>
        <v>97761.600000000006</v>
      </c>
      <c r="V48" s="2">
        <f t="shared" si="20"/>
        <v>96710.399999999994</v>
      </c>
      <c r="W48" s="2">
        <f t="shared" si="20"/>
        <v>95659.199999999983</v>
      </c>
      <c r="X48" s="2">
        <f t="shared" si="20"/>
        <v>94607.999999999985</v>
      </c>
      <c r="Y48" s="2">
        <f t="shared" si="20"/>
        <v>93556.800000000003</v>
      </c>
    </row>
    <row r="49" spans="5:25" s="15" customFormat="1" x14ac:dyDescent="0.3">
      <c r="G49" s="15" t="s">
        <v>76</v>
      </c>
      <c r="J49" s="15" t="s">
        <v>36</v>
      </c>
      <c r="K49" s="16"/>
      <c r="L49" s="20">
        <f>L32*L42</f>
        <v>273.59999999999997</v>
      </c>
      <c r="N49" s="20"/>
      <c r="P49" s="20">
        <f>P32*P42</f>
        <v>273.59999999999997</v>
      </c>
      <c r="R49" s="17"/>
      <c r="S49" s="20">
        <f t="shared" ref="S49:Y49" si="21">S32*S42</f>
        <v>273.59999999999997</v>
      </c>
      <c r="T49" s="20">
        <f t="shared" si="21"/>
        <v>270.71999999999997</v>
      </c>
      <c r="U49" s="20">
        <f t="shared" si="21"/>
        <v>267.84000000000003</v>
      </c>
      <c r="V49" s="20">
        <f t="shared" si="21"/>
        <v>264.95999999999998</v>
      </c>
      <c r="W49" s="20">
        <f t="shared" si="21"/>
        <v>262.08</v>
      </c>
      <c r="X49" s="20">
        <f t="shared" si="21"/>
        <v>259.2</v>
      </c>
      <c r="Y49" s="20">
        <f t="shared" si="21"/>
        <v>256.32</v>
      </c>
    </row>
    <row r="50" spans="5:25" x14ac:dyDescent="0.3">
      <c r="F50" s="2" t="s">
        <v>39</v>
      </c>
      <c r="J50" s="2" t="s">
        <v>35</v>
      </c>
      <c r="L50" s="2">
        <f>L$12*L33*L43</f>
        <v>162279</v>
      </c>
      <c r="P50" s="2">
        <f>P$12*P33*P43</f>
        <v>162279</v>
      </c>
      <c r="R50" s="11"/>
      <c r="S50" s="2">
        <f t="shared" ref="S50:Y50" si="22">S$12*S33*S43</f>
        <v>162279</v>
      </c>
      <c r="T50" s="2">
        <f t="shared" si="22"/>
        <v>160570.79999999999</v>
      </c>
      <c r="U50" s="2">
        <f t="shared" si="22"/>
        <v>158862.6</v>
      </c>
      <c r="V50" s="2">
        <f t="shared" si="22"/>
        <v>157154.39999999997</v>
      </c>
      <c r="W50" s="2">
        <f t="shared" si="22"/>
        <v>155446.20000000001</v>
      </c>
      <c r="X50" s="2">
        <f t="shared" si="22"/>
        <v>153738</v>
      </c>
      <c r="Y50" s="2">
        <f t="shared" si="22"/>
        <v>152029.79999999999</v>
      </c>
    </row>
    <row r="51" spans="5:25" s="15" customFormat="1" x14ac:dyDescent="0.3">
      <c r="F51" s="52"/>
      <c r="G51" s="52" t="s">
        <v>77</v>
      </c>
      <c r="H51" s="52"/>
      <c r="I51" s="52"/>
      <c r="J51" s="52" t="s">
        <v>36</v>
      </c>
      <c r="K51" s="53"/>
      <c r="L51" s="54">
        <f>L34*L43</f>
        <v>444.59999999999991</v>
      </c>
      <c r="M51" s="52"/>
      <c r="N51" s="54"/>
      <c r="O51" s="52"/>
      <c r="P51" s="54">
        <f>P34*P43</f>
        <v>444.59999999999991</v>
      </c>
      <c r="Q51" s="52"/>
      <c r="R51" s="55"/>
      <c r="S51" s="54">
        <f t="shared" ref="S51:Y51" si="23">S34*S43</f>
        <v>444.59999999999991</v>
      </c>
      <c r="T51" s="54">
        <f t="shared" si="23"/>
        <v>439.91999999999996</v>
      </c>
      <c r="U51" s="54">
        <f t="shared" si="23"/>
        <v>435.24</v>
      </c>
      <c r="V51" s="54">
        <f t="shared" si="23"/>
        <v>430.56</v>
      </c>
      <c r="W51" s="54">
        <f t="shared" si="23"/>
        <v>425.87999999999994</v>
      </c>
      <c r="X51" s="54">
        <f t="shared" si="23"/>
        <v>421.2</v>
      </c>
      <c r="Y51" s="54">
        <f t="shared" si="23"/>
        <v>416.52</v>
      </c>
    </row>
    <row r="52" spans="5:25" x14ac:dyDescent="0.3">
      <c r="F52" s="47"/>
      <c r="G52" s="47"/>
      <c r="H52" s="47"/>
      <c r="I52" s="47"/>
      <c r="J52" s="47"/>
      <c r="K52" s="48"/>
      <c r="L52" s="47"/>
      <c r="M52" s="47"/>
      <c r="N52" s="47"/>
      <c r="O52" s="47"/>
      <c r="P52" s="47"/>
      <c r="Q52" s="47"/>
      <c r="R52" s="49"/>
      <c r="S52" s="49"/>
      <c r="T52" s="49"/>
      <c r="U52" s="49"/>
      <c r="V52" s="49"/>
      <c r="W52" s="49"/>
      <c r="X52" s="49"/>
      <c r="Y52" s="49"/>
    </row>
    <row r="53" spans="5:25" s="3" customFormat="1" x14ac:dyDescent="0.3">
      <c r="E53" s="23"/>
      <c r="F53" s="3" t="s">
        <v>56</v>
      </c>
      <c r="K53" s="6"/>
      <c r="R53" s="19"/>
      <c r="S53" s="19"/>
      <c r="T53" s="19"/>
      <c r="U53" s="19"/>
      <c r="V53" s="19"/>
      <c r="W53" s="19"/>
      <c r="X53" s="19"/>
      <c r="Y53" s="19"/>
    </row>
    <row r="54" spans="5:25" x14ac:dyDescent="0.3">
      <c r="F54" s="2" t="s">
        <v>57</v>
      </c>
      <c r="J54" s="2" t="s">
        <v>35</v>
      </c>
      <c r="L54" s="2">
        <f>L46+L48</f>
        <v>266304</v>
      </c>
      <c r="P54" s="2">
        <f>P46+P48</f>
        <v>266304</v>
      </c>
      <c r="R54" s="11"/>
      <c r="S54" s="2">
        <f t="shared" ref="S54:Y54" si="24">S46+S48</f>
        <v>266304</v>
      </c>
      <c r="T54" s="2">
        <f t="shared" si="24"/>
        <v>263500.79999999993</v>
      </c>
      <c r="U54" s="2">
        <f t="shared" si="24"/>
        <v>260697.60000000001</v>
      </c>
      <c r="V54" s="2">
        <f t="shared" si="24"/>
        <v>257894.39999999999</v>
      </c>
      <c r="W54" s="2">
        <f t="shared" si="24"/>
        <v>255091.19999999995</v>
      </c>
      <c r="X54" s="2">
        <f t="shared" si="24"/>
        <v>252287.99999999994</v>
      </c>
      <c r="Y54" s="2">
        <f t="shared" si="24"/>
        <v>249484.79999999999</v>
      </c>
    </row>
    <row r="55" spans="5:25" s="15" customFormat="1" x14ac:dyDescent="0.3">
      <c r="F55" s="52"/>
      <c r="G55" s="52" t="s">
        <v>58</v>
      </c>
      <c r="H55" s="52"/>
      <c r="I55" s="52"/>
      <c r="J55" s="52" t="s">
        <v>36</v>
      </c>
      <c r="K55" s="53"/>
      <c r="L55" s="54">
        <f>L47+L49</f>
        <v>729.59999999999991</v>
      </c>
      <c r="M55" s="52"/>
      <c r="N55" s="54"/>
      <c r="O55" s="52"/>
      <c r="P55" s="54">
        <f>P47+P49</f>
        <v>729.59999999999991</v>
      </c>
      <c r="Q55" s="52"/>
      <c r="R55" s="55"/>
      <c r="S55" s="54">
        <f t="shared" ref="S55:Y55" si="25">S47+S49</f>
        <v>729.59999999999991</v>
      </c>
      <c r="T55" s="54">
        <f t="shared" si="25"/>
        <v>721.91999999999985</v>
      </c>
      <c r="U55" s="54">
        <f t="shared" si="25"/>
        <v>714.24</v>
      </c>
      <c r="V55" s="54">
        <f t="shared" si="25"/>
        <v>706.56</v>
      </c>
      <c r="W55" s="54">
        <f t="shared" si="25"/>
        <v>698.87999999999988</v>
      </c>
      <c r="X55" s="54">
        <f t="shared" si="25"/>
        <v>691.19999999999993</v>
      </c>
      <c r="Y55" s="54">
        <f t="shared" si="25"/>
        <v>683.52</v>
      </c>
    </row>
    <row r="56" spans="5:25" x14ac:dyDescent="0.3">
      <c r="F56" s="47"/>
      <c r="G56" s="47"/>
      <c r="H56" s="47"/>
      <c r="I56" s="47"/>
      <c r="J56" s="47"/>
      <c r="K56" s="48"/>
      <c r="L56" s="47"/>
      <c r="M56" s="47"/>
      <c r="N56" s="47"/>
      <c r="O56" s="47"/>
      <c r="P56" s="47"/>
      <c r="Q56" s="47"/>
      <c r="R56" s="49"/>
      <c r="S56" s="49"/>
      <c r="T56" s="49"/>
      <c r="U56" s="49"/>
      <c r="V56" s="49"/>
      <c r="W56" s="49"/>
      <c r="X56" s="49"/>
      <c r="Y56" s="49"/>
    </row>
    <row r="57" spans="5:25" s="3" customFormat="1" x14ac:dyDescent="0.3">
      <c r="E57" s="18"/>
      <c r="F57" s="3" t="s">
        <v>44</v>
      </c>
      <c r="K57" s="6"/>
      <c r="R57" s="19"/>
      <c r="S57" s="19"/>
      <c r="T57" s="19"/>
      <c r="U57" s="19"/>
      <c r="V57" s="19"/>
      <c r="W57" s="19"/>
      <c r="X57" s="19"/>
      <c r="Y57" s="19"/>
    </row>
    <row r="58" spans="5:25" x14ac:dyDescent="0.3">
      <c r="F58" s="2" t="s">
        <v>155</v>
      </c>
      <c r="J58" s="2" t="s">
        <v>51</v>
      </c>
      <c r="K58" s="6" t="s">
        <v>11</v>
      </c>
      <c r="L58" s="21">
        <v>30</v>
      </c>
      <c r="M58" s="21"/>
      <c r="N58" s="21">
        <v>0</v>
      </c>
      <c r="O58" s="21"/>
      <c r="P58" s="21">
        <f t="shared" ref="P58:P60" si="26">L58+N58</f>
        <v>30</v>
      </c>
      <c r="Q58" s="21"/>
      <c r="R58" s="22"/>
      <c r="S58" s="22">
        <f t="shared" ref="S58:S59" si="27">$P58</f>
        <v>30</v>
      </c>
      <c r="T58" s="22">
        <f t="shared" ref="T58:Y60" si="28">$P58+$P$61*(T$5-1)</f>
        <v>31</v>
      </c>
      <c r="U58" s="22">
        <f t="shared" si="28"/>
        <v>32</v>
      </c>
      <c r="V58" s="22">
        <f t="shared" si="28"/>
        <v>33</v>
      </c>
      <c r="W58" s="22">
        <f t="shared" si="28"/>
        <v>34</v>
      </c>
      <c r="X58" s="22">
        <f t="shared" si="28"/>
        <v>35</v>
      </c>
      <c r="Y58" s="22">
        <f t="shared" si="28"/>
        <v>36</v>
      </c>
    </row>
    <row r="59" spans="5:25" x14ac:dyDescent="0.3">
      <c r="F59" s="2" t="s">
        <v>156</v>
      </c>
      <c r="J59" s="2" t="s">
        <v>51</v>
      </c>
      <c r="K59" s="6" t="s">
        <v>11</v>
      </c>
      <c r="L59" s="21">
        <v>28</v>
      </c>
      <c r="M59" s="21"/>
      <c r="N59" s="21">
        <v>0</v>
      </c>
      <c r="O59" s="21"/>
      <c r="P59" s="21">
        <f t="shared" si="26"/>
        <v>28</v>
      </c>
      <c r="Q59" s="21"/>
      <c r="R59" s="22"/>
      <c r="S59" s="22">
        <f t="shared" si="27"/>
        <v>28</v>
      </c>
      <c r="T59" s="22">
        <f t="shared" si="28"/>
        <v>29</v>
      </c>
      <c r="U59" s="22">
        <f t="shared" si="28"/>
        <v>30</v>
      </c>
      <c r="V59" s="22">
        <f t="shared" si="28"/>
        <v>31</v>
      </c>
      <c r="W59" s="22">
        <f t="shared" si="28"/>
        <v>32</v>
      </c>
      <c r="X59" s="22">
        <f t="shared" si="28"/>
        <v>33</v>
      </c>
      <c r="Y59" s="22">
        <f t="shared" si="28"/>
        <v>34</v>
      </c>
    </row>
    <row r="60" spans="5:25" x14ac:dyDescent="0.3">
      <c r="F60" s="2" t="s">
        <v>157</v>
      </c>
      <c r="J60" s="2" t="s">
        <v>51</v>
      </c>
      <c r="K60" s="6" t="s">
        <v>11</v>
      </c>
      <c r="L60" s="21">
        <v>25</v>
      </c>
      <c r="M60" s="21"/>
      <c r="N60" s="21">
        <v>0</v>
      </c>
      <c r="O60" s="21"/>
      <c r="P60" s="21">
        <f t="shared" si="26"/>
        <v>25</v>
      </c>
      <c r="Q60" s="21"/>
      <c r="R60" s="22"/>
      <c r="S60" s="22">
        <f>$P60</f>
        <v>25</v>
      </c>
      <c r="T60" s="22">
        <f t="shared" si="28"/>
        <v>26</v>
      </c>
      <c r="U60" s="22">
        <f t="shared" si="28"/>
        <v>27</v>
      </c>
      <c r="V60" s="22">
        <f t="shared" si="28"/>
        <v>28</v>
      </c>
      <c r="W60" s="22">
        <f t="shared" si="28"/>
        <v>29</v>
      </c>
      <c r="X60" s="22">
        <f t="shared" si="28"/>
        <v>30</v>
      </c>
      <c r="Y60" s="22">
        <f t="shared" si="28"/>
        <v>31</v>
      </c>
    </row>
    <row r="61" spans="5:25" s="8" customFormat="1" x14ac:dyDescent="0.3">
      <c r="F61" s="56"/>
      <c r="G61" s="56" t="s">
        <v>43</v>
      </c>
      <c r="H61" s="56"/>
      <c r="I61" s="56"/>
      <c r="J61" s="44" t="s">
        <v>51</v>
      </c>
      <c r="K61" s="57" t="s">
        <v>11</v>
      </c>
      <c r="L61" s="58">
        <v>1</v>
      </c>
      <c r="M61" s="58"/>
      <c r="N61" s="58">
        <v>0</v>
      </c>
      <c r="O61" s="58"/>
      <c r="P61" s="58">
        <f>L61+N61</f>
        <v>1</v>
      </c>
      <c r="Q61" s="58"/>
      <c r="R61" s="59"/>
      <c r="S61" s="59"/>
      <c r="T61" s="59"/>
      <c r="U61" s="59"/>
      <c r="V61" s="59"/>
      <c r="W61" s="59"/>
      <c r="X61" s="59"/>
      <c r="Y61" s="59"/>
    </row>
    <row r="62" spans="5:25" x14ac:dyDescent="0.3">
      <c r="F62" s="47"/>
      <c r="G62" s="47"/>
      <c r="H62" s="47"/>
      <c r="I62" s="47"/>
      <c r="J62" s="47"/>
      <c r="K62" s="48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5:25" s="3" customFormat="1" x14ac:dyDescent="0.3">
      <c r="E63" s="18"/>
      <c r="F63" s="3" t="s">
        <v>42</v>
      </c>
      <c r="K63" s="6"/>
      <c r="R63" s="19"/>
      <c r="S63" s="19"/>
      <c r="T63" s="19"/>
      <c r="U63" s="19"/>
      <c r="V63" s="19"/>
      <c r="W63" s="19"/>
      <c r="X63" s="19"/>
      <c r="Y63" s="19"/>
    </row>
    <row r="64" spans="5:25" x14ac:dyDescent="0.3">
      <c r="F64" s="2" t="s">
        <v>47</v>
      </c>
      <c r="J64" s="2" t="s">
        <v>45</v>
      </c>
      <c r="L64" s="2">
        <f>L46/100*L58</f>
        <v>49932</v>
      </c>
      <c r="P64" s="2">
        <f>P46/100*P58</f>
        <v>49932</v>
      </c>
      <c r="R64" s="11"/>
      <c r="S64" s="2">
        <f t="shared" ref="S64:Y64" si="29">S46/100*S58</f>
        <v>49932</v>
      </c>
      <c r="T64" s="2">
        <f t="shared" si="29"/>
        <v>51053.279999999992</v>
      </c>
      <c r="U64" s="2">
        <f t="shared" si="29"/>
        <v>52139.519999999997</v>
      </c>
      <c r="V64" s="2">
        <f t="shared" si="29"/>
        <v>53190.719999999994</v>
      </c>
      <c r="W64" s="2">
        <f t="shared" si="29"/>
        <v>54206.87999999999</v>
      </c>
      <c r="X64" s="2">
        <f t="shared" si="29"/>
        <v>55187.999999999993</v>
      </c>
      <c r="Y64" s="2">
        <f t="shared" si="29"/>
        <v>56134.080000000002</v>
      </c>
    </row>
    <row r="65" spans="5:25" s="15" customFormat="1" x14ac:dyDescent="0.3">
      <c r="G65" s="15" t="s">
        <v>50</v>
      </c>
      <c r="J65" s="15" t="s">
        <v>46</v>
      </c>
      <c r="K65" s="16"/>
      <c r="L65" s="20">
        <f>L47/100*L58</f>
        <v>136.79999999999998</v>
      </c>
      <c r="N65" s="20"/>
      <c r="P65" s="20">
        <f>P47/100*P58</f>
        <v>136.79999999999998</v>
      </c>
      <c r="R65" s="17"/>
      <c r="S65" s="20">
        <f t="shared" ref="S65:Y65" si="30">S47/100*S58</f>
        <v>136.79999999999998</v>
      </c>
      <c r="T65" s="20">
        <f t="shared" si="30"/>
        <v>139.87199999999999</v>
      </c>
      <c r="U65" s="20">
        <f t="shared" si="30"/>
        <v>142.84800000000001</v>
      </c>
      <c r="V65" s="20">
        <f t="shared" si="30"/>
        <v>145.72799999999998</v>
      </c>
      <c r="W65" s="20">
        <f t="shared" si="30"/>
        <v>148.51199999999997</v>
      </c>
      <c r="X65" s="20">
        <f t="shared" si="30"/>
        <v>151.19999999999999</v>
      </c>
      <c r="Y65" s="20">
        <f t="shared" si="30"/>
        <v>153.792</v>
      </c>
    </row>
    <row r="66" spans="5:25" x14ac:dyDescent="0.3">
      <c r="F66" s="2" t="s">
        <v>48</v>
      </c>
      <c r="J66" s="2" t="s">
        <v>45</v>
      </c>
      <c r="L66" s="2">
        <f>L48/100*L59</f>
        <v>27961.919999999998</v>
      </c>
      <c r="P66" s="2">
        <f>P48/100*P59</f>
        <v>27961.919999999998</v>
      </c>
      <c r="R66" s="11"/>
      <c r="S66" s="2">
        <f t="shared" ref="S66:Y66" si="31">S48/100*S59</f>
        <v>27961.919999999998</v>
      </c>
      <c r="T66" s="2">
        <f t="shared" si="31"/>
        <v>28655.711999999992</v>
      </c>
      <c r="U66" s="2">
        <f t="shared" si="31"/>
        <v>29328.480000000003</v>
      </c>
      <c r="V66" s="2">
        <f t="shared" si="31"/>
        <v>29980.223999999998</v>
      </c>
      <c r="W66" s="2">
        <f t="shared" si="31"/>
        <v>30610.943999999996</v>
      </c>
      <c r="X66" s="2">
        <f t="shared" si="31"/>
        <v>31220.639999999992</v>
      </c>
      <c r="Y66" s="2">
        <f t="shared" si="31"/>
        <v>31809.311999999998</v>
      </c>
    </row>
    <row r="67" spans="5:25" s="15" customFormat="1" x14ac:dyDescent="0.3">
      <c r="G67" s="15" t="s">
        <v>78</v>
      </c>
      <c r="J67" s="15" t="s">
        <v>46</v>
      </c>
      <c r="K67" s="16"/>
      <c r="L67" s="20">
        <f>L49/100*L59</f>
        <v>76.60799999999999</v>
      </c>
      <c r="N67" s="20"/>
      <c r="P67" s="20">
        <f>P49/100*P59</f>
        <v>76.60799999999999</v>
      </c>
      <c r="R67" s="17"/>
      <c r="S67" s="20">
        <f t="shared" ref="S67:Y67" si="32">S49/100*S59</f>
        <v>76.60799999999999</v>
      </c>
      <c r="T67" s="20">
        <f t="shared" si="32"/>
        <v>78.508799999999994</v>
      </c>
      <c r="U67" s="20">
        <f t="shared" si="32"/>
        <v>80.352000000000004</v>
      </c>
      <c r="V67" s="20">
        <f t="shared" si="32"/>
        <v>82.137599999999992</v>
      </c>
      <c r="W67" s="20">
        <f t="shared" si="32"/>
        <v>83.865600000000001</v>
      </c>
      <c r="X67" s="20">
        <f t="shared" si="32"/>
        <v>85.536000000000001</v>
      </c>
      <c r="Y67" s="20">
        <f t="shared" si="32"/>
        <v>87.148800000000008</v>
      </c>
    </row>
    <row r="68" spans="5:25" x14ac:dyDescent="0.3">
      <c r="F68" s="2" t="s">
        <v>49</v>
      </c>
      <c r="J68" s="2" t="s">
        <v>45</v>
      </c>
      <c r="L68" s="2">
        <f>L50/100*L60</f>
        <v>40569.75</v>
      </c>
      <c r="P68" s="2">
        <f>P50/100*P60</f>
        <v>40569.75</v>
      </c>
      <c r="R68" s="11"/>
      <c r="S68" s="2">
        <f t="shared" ref="S68:Y68" si="33">S50/100*S60</f>
        <v>40569.75</v>
      </c>
      <c r="T68" s="2">
        <f t="shared" si="33"/>
        <v>41748.407999999996</v>
      </c>
      <c r="U68" s="2">
        <f t="shared" si="33"/>
        <v>42892.902000000002</v>
      </c>
      <c r="V68" s="2">
        <f t="shared" si="33"/>
        <v>44003.231999999989</v>
      </c>
      <c r="W68" s="2">
        <f t="shared" si="33"/>
        <v>45079.398000000008</v>
      </c>
      <c r="X68" s="2">
        <f t="shared" si="33"/>
        <v>46121.4</v>
      </c>
      <c r="Y68" s="2">
        <f t="shared" si="33"/>
        <v>47129.23799999999</v>
      </c>
    </row>
    <row r="69" spans="5:25" s="15" customFormat="1" x14ac:dyDescent="0.3">
      <c r="F69" s="52"/>
      <c r="G69" s="52" t="s">
        <v>79</v>
      </c>
      <c r="H69" s="52"/>
      <c r="I69" s="52"/>
      <c r="J69" s="52" t="s">
        <v>46</v>
      </c>
      <c r="K69" s="53"/>
      <c r="L69" s="54">
        <f>L51/100*L60</f>
        <v>111.14999999999998</v>
      </c>
      <c r="M69" s="52"/>
      <c r="N69" s="54"/>
      <c r="O69" s="52"/>
      <c r="P69" s="54">
        <f>P51/100*P60</f>
        <v>111.14999999999998</v>
      </c>
      <c r="Q69" s="52"/>
      <c r="R69" s="55"/>
      <c r="S69" s="54">
        <f t="shared" ref="S69:Y69" si="34">S51/100*S60</f>
        <v>111.14999999999998</v>
      </c>
      <c r="T69" s="54">
        <f t="shared" si="34"/>
        <v>114.37919999999998</v>
      </c>
      <c r="U69" s="54">
        <f t="shared" si="34"/>
        <v>117.51480000000001</v>
      </c>
      <c r="V69" s="54">
        <f t="shared" si="34"/>
        <v>120.55680000000001</v>
      </c>
      <c r="W69" s="54">
        <f t="shared" si="34"/>
        <v>123.50519999999997</v>
      </c>
      <c r="X69" s="54">
        <f t="shared" si="34"/>
        <v>126.35999999999999</v>
      </c>
      <c r="Y69" s="54">
        <f t="shared" si="34"/>
        <v>129.12119999999999</v>
      </c>
    </row>
    <row r="70" spans="5:25" x14ac:dyDescent="0.3">
      <c r="F70" s="47"/>
      <c r="G70" s="47"/>
      <c r="H70" s="47"/>
      <c r="I70" s="47"/>
      <c r="J70" s="47"/>
      <c r="K70" s="48"/>
      <c r="L70" s="47"/>
      <c r="M70" s="47"/>
      <c r="N70" s="47"/>
      <c r="O70" s="47"/>
      <c r="P70" s="47"/>
      <c r="Q70" s="47"/>
      <c r="R70" s="49"/>
      <c r="S70" s="49"/>
      <c r="T70" s="49"/>
      <c r="U70" s="49"/>
      <c r="V70" s="49"/>
      <c r="W70" s="49"/>
      <c r="X70" s="49"/>
      <c r="Y70" s="49"/>
    </row>
    <row r="71" spans="5:25" s="3" customFormat="1" x14ac:dyDescent="0.3">
      <c r="E71" s="23"/>
      <c r="F71" s="3" t="s">
        <v>52</v>
      </c>
      <c r="K71" s="6"/>
      <c r="R71" s="19"/>
      <c r="S71" s="19"/>
      <c r="T71" s="19"/>
      <c r="U71" s="19"/>
      <c r="V71" s="19"/>
      <c r="W71" s="19"/>
      <c r="X71" s="19"/>
      <c r="Y71" s="19"/>
    </row>
    <row r="72" spans="5:25" x14ac:dyDescent="0.3">
      <c r="F72" s="2" t="s">
        <v>53</v>
      </c>
      <c r="J72" s="2" t="s">
        <v>54</v>
      </c>
      <c r="K72" s="6" t="s">
        <v>11</v>
      </c>
      <c r="L72" s="24">
        <v>45</v>
      </c>
      <c r="M72" s="24"/>
      <c r="N72" s="24">
        <v>0</v>
      </c>
      <c r="O72" s="24"/>
      <c r="P72" s="24">
        <f t="shared" ref="P72" si="35">L72+N72</f>
        <v>45</v>
      </c>
      <c r="Q72" s="24"/>
      <c r="R72" s="25"/>
      <c r="S72" s="25">
        <f t="shared" ref="S72" si="36">$P72</f>
        <v>45</v>
      </c>
      <c r="T72" s="25">
        <f>$P72+$P73*(T$5-1)</f>
        <v>46</v>
      </c>
      <c r="U72" s="25">
        <f t="shared" ref="U72:Y72" si="37">$P72+$P73*(U$5-1)</f>
        <v>47</v>
      </c>
      <c r="V72" s="25">
        <f>$P72+$P73*(V$5-1)</f>
        <v>48</v>
      </c>
      <c r="W72" s="25">
        <f t="shared" si="37"/>
        <v>49</v>
      </c>
      <c r="X72" s="25">
        <f t="shared" si="37"/>
        <v>50</v>
      </c>
      <c r="Y72" s="25">
        <f t="shared" si="37"/>
        <v>51</v>
      </c>
    </row>
    <row r="73" spans="5:25" s="8" customFormat="1" x14ac:dyDescent="0.3">
      <c r="F73" s="66"/>
      <c r="G73" s="66" t="s">
        <v>55</v>
      </c>
      <c r="H73" s="66"/>
      <c r="I73" s="66"/>
      <c r="J73" s="67" t="s">
        <v>54</v>
      </c>
      <c r="K73" s="68" t="s">
        <v>11</v>
      </c>
      <c r="L73" s="69">
        <v>1</v>
      </c>
      <c r="M73" s="69"/>
      <c r="N73" s="69">
        <v>0</v>
      </c>
      <c r="O73" s="69"/>
      <c r="P73" s="69">
        <f>L73+N73</f>
        <v>1</v>
      </c>
      <c r="Q73" s="69"/>
      <c r="R73" s="70"/>
      <c r="S73" s="70"/>
      <c r="T73" s="70"/>
      <c r="U73" s="70"/>
      <c r="V73" s="70"/>
      <c r="W73" s="70"/>
      <c r="X73" s="70"/>
      <c r="Y73" s="70"/>
    </row>
    <row r="74" spans="5:25" x14ac:dyDescent="0.3">
      <c r="F74" s="67"/>
      <c r="G74" s="67"/>
      <c r="H74" s="67"/>
      <c r="I74" s="67"/>
      <c r="J74" s="67"/>
      <c r="K74" s="71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</row>
    <row r="75" spans="5:25" s="3" customFormat="1" x14ac:dyDescent="0.3">
      <c r="E75" s="23"/>
      <c r="F75" s="3" t="s">
        <v>59</v>
      </c>
      <c r="K75" s="6"/>
      <c r="R75" s="19"/>
      <c r="S75" s="19"/>
      <c r="T75" s="19"/>
      <c r="U75" s="19"/>
      <c r="V75" s="19"/>
      <c r="W75" s="19"/>
      <c r="X75" s="19"/>
      <c r="Y75" s="19"/>
    </row>
    <row r="76" spans="5:25" x14ac:dyDescent="0.3">
      <c r="F76" s="2" t="s">
        <v>60</v>
      </c>
      <c r="J76" s="2" t="s">
        <v>64</v>
      </c>
      <c r="L76" s="2">
        <f>L64*L$72</f>
        <v>2246940</v>
      </c>
      <c r="P76" s="2">
        <f>P64*P$72</f>
        <v>2246940</v>
      </c>
      <c r="R76" s="11"/>
      <c r="S76" s="2">
        <f t="shared" ref="S76:Y81" si="38">S64*S$72</f>
        <v>2246940</v>
      </c>
      <c r="T76" s="2">
        <f t="shared" si="38"/>
        <v>2348450.8799999994</v>
      </c>
      <c r="U76" s="2">
        <f t="shared" si="38"/>
        <v>2450557.44</v>
      </c>
      <c r="V76" s="2">
        <f t="shared" si="38"/>
        <v>2553154.5599999996</v>
      </c>
      <c r="W76" s="2">
        <f t="shared" si="38"/>
        <v>2656137.1199999996</v>
      </c>
      <c r="X76" s="2">
        <f t="shared" si="38"/>
        <v>2759399.9999999995</v>
      </c>
      <c r="Y76" s="2">
        <f t="shared" si="38"/>
        <v>2862838.08</v>
      </c>
    </row>
    <row r="77" spans="5:25" s="15" customFormat="1" x14ac:dyDescent="0.3">
      <c r="G77" s="15" t="s">
        <v>61</v>
      </c>
      <c r="J77" s="15" t="s">
        <v>65</v>
      </c>
      <c r="K77" s="16"/>
      <c r="L77" s="15">
        <f t="shared" ref="L77:L80" si="39">L65*L$72</f>
        <v>6155.9999999999991</v>
      </c>
      <c r="P77" s="15">
        <f t="shared" ref="P77:P81" si="40">P65*P$72</f>
        <v>6155.9999999999991</v>
      </c>
      <c r="R77" s="17"/>
      <c r="S77" s="15">
        <f t="shared" si="38"/>
        <v>6155.9999999999991</v>
      </c>
      <c r="T77" s="15">
        <f t="shared" si="38"/>
        <v>6434.1119999999992</v>
      </c>
      <c r="U77" s="15">
        <f t="shared" si="38"/>
        <v>6713.8560000000007</v>
      </c>
      <c r="V77" s="15">
        <f t="shared" si="38"/>
        <v>6994.9439999999995</v>
      </c>
      <c r="W77" s="15">
        <f t="shared" si="38"/>
        <v>7277.0879999999988</v>
      </c>
      <c r="X77" s="15">
        <f t="shared" si="38"/>
        <v>7559.9999999999991</v>
      </c>
      <c r="Y77" s="15">
        <f t="shared" si="38"/>
        <v>7843.3919999999998</v>
      </c>
    </row>
    <row r="78" spans="5:25" x14ac:dyDescent="0.3">
      <c r="F78" s="2" t="s">
        <v>62</v>
      </c>
      <c r="J78" s="2" t="s">
        <v>64</v>
      </c>
      <c r="L78" s="2">
        <f t="shared" si="39"/>
        <v>1258286.3999999999</v>
      </c>
      <c r="P78" s="2">
        <f t="shared" si="40"/>
        <v>1258286.3999999999</v>
      </c>
      <c r="R78" s="11"/>
      <c r="S78" s="2">
        <f t="shared" si="38"/>
        <v>1258286.3999999999</v>
      </c>
      <c r="T78" s="2">
        <f t="shared" si="38"/>
        <v>1318162.7519999996</v>
      </c>
      <c r="U78" s="2">
        <f t="shared" si="38"/>
        <v>1378438.56</v>
      </c>
      <c r="V78" s="2">
        <f t="shared" si="38"/>
        <v>1439050.7519999999</v>
      </c>
      <c r="W78" s="2">
        <f t="shared" si="38"/>
        <v>1499936.2559999998</v>
      </c>
      <c r="X78" s="2">
        <f t="shared" si="38"/>
        <v>1561031.9999999995</v>
      </c>
      <c r="Y78" s="2">
        <f t="shared" si="38"/>
        <v>1622274.912</v>
      </c>
    </row>
    <row r="79" spans="5:25" s="15" customFormat="1" x14ac:dyDescent="0.3">
      <c r="G79" s="15" t="s">
        <v>80</v>
      </c>
      <c r="J79" s="15" t="s">
        <v>65</v>
      </c>
      <c r="K79" s="16"/>
      <c r="L79" s="15">
        <f t="shared" si="39"/>
        <v>3447.3599999999997</v>
      </c>
      <c r="P79" s="15">
        <f t="shared" si="40"/>
        <v>3447.3599999999997</v>
      </c>
      <c r="R79" s="17"/>
      <c r="S79" s="15">
        <f t="shared" si="38"/>
        <v>3447.3599999999997</v>
      </c>
      <c r="T79" s="15">
        <f t="shared" si="38"/>
        <v>3611.4047999999998</v>
      </c>
      <c r="U79" s="15">
        <f t="shared" si="38"/>
        <v>3776.5440000000003</v>
      </c>
      <c r="V79" s="15">
        <f t="shared" si="38"/>
        <v>3942.6047999999996</v>
      </c>
      <c r="W79" s="15">
        <f t="shared" si="38"/>
        <v>4109.4143999999997</v>
      </c>
      <c r="X79" s="15">
        <f t="shared" si="38"/>
        <v>4276.8</v>
      </c>
      <c r="Y79" s="15">
        <f t="shared" si="38"/>
        <v>4444.5888000000004</v>
      </c>
    </row>
    <row r="80" spans="5:25" x14ac:dyDescent="0.3">
      <c r="F80" s="2" t="s">
        <v>63</v>
      </c>
      <c r="J80" s="2" t="s">
        <v>64</v>
      </c>
      <c r="L80" s="2">
        <f t="shared" si="39"/>
        <v>1825638.75</v>
      </c>
      <c r="P80" s="2">
        <f t="shared" si="40"/>
        <v>1825638.75</v>
      </c>
      <c r="R80" s="11"/>
      <c r="S80" s="2">
        <f t="shared" si="38"/>
        <v>1825638.75</v>
      </c>
      <c r="T80" s="2">
        <f t="shared" si="38"/>
        <v>1920426.7679999997</v>
      </c>
      <c r="U80" s="2">
        <f t="shared" si="38"/>
        <v>2015966.3940000001</v>
      </c>
      <c r="V80" s="2">
        <f t="shared" si="38"/>
        <v>2112155.1359999995</v>
      </c>
      <c r="W80" s="2">
        <f t="shared" si="38"/>
        <v>2208890.5020000003</v>
      </c>
      <c r="X80" s="2">
        <f t="shared" si="38"/>
        <v>2306070</v>
      </c>
      <c r="Y80" s="2">
        <f t="shared" si="38"/>
        <v>2403591.1379999993</v>
      </c>
    </row>
    <row r="81" spans="2:27" s="15" customFormat="1" x14ac:dyDescent="0.3">
      <c r="G81" s="15" t="s">
        <v>81</v>
      </c>
      <c r="J81" s="15" t="s">
        <v>65</v>
      </c>
      <c r="K81" s="16"/>
      <c r="L81" s="15">
        <f>L69*L$72</f>
        <v>5001.7499999999991</v>
      </c>
      <c r="P81" s="15">
        <f t="shared" si="40"/>
        <v>5001.7499999999991</v>
      </c>
      <c r="R81" s="17"/>
      <c r="S81" s="15">
        <f t="shared" si="38"/>
        <v>5001.7499999999991</v>
      </c>
      <c r="T81" s="15">
        <f t="shared" si="38"/>
        <v>5261.4431999999988</v>
      </c>
      <c r="U81" s="15">
        <f t="shared" si="38"/>
        <v>5523.1956</v>
      </c>
      <c r="V81" s="15">
        <f t="shared" si="38"/>
        <v>5786.7264000000005</v>
      </c>
      <c r="W81" s="15">
        <f t="shared" si="38"/>
        <v>6051.7547999999988</v>
      </c>
      <c r="X81" s="15">
        <f t="shared" si="38"/>
        <v>6317.9999999999991</v>
      </c>
      <c r="Y81" s="15">
        <f t="shared" si="38"/>
        <v>6585.1811999999991</v>
      </c>
    </row>
    <row r="82" spans="2:27" x14ac:dyDescent="0.3">
      <c r="R82" s="11"/>
      <c r="S82" s="11"/>
      <c r="T82" s="11"/>
      <c r="U82" s="11"/>
      <c r="V82" s="11"/>
      <c r="W82" s="11"/>
      <c r="X82" s="11"/>
      <c r="Y82" s="11"/>
    </row>
    <row r="83" spans="2:27" s="3" customFormat="1" x14ac:dyDescent="0.3">
      <c r="B83" s="3" t="s">
        <v>66</v>
      </c>
      <c r="E83" s="23"/>
      <c r="F83" s="3" t="s">
        <v>67</v>
      </c>
      <c r="J83" s="3" t="s">
        <v>64</v>
      </c>
      <c r="K83" s="6"/>
      <c r="L83" s="3">
        <f>L76+L78+L80</f>
        <v>5330865.1500000004</v>
      </c>
      <c r="P83" s="3">
        <f>P76+P78+P80</f>
        <v>5330865.1500000004</v>
      </c>
      <c r="R83" s="19"/>
      <c r="S83" s="3">
        <f t="shared" ref="S83:Y83" si="41">S76+S78+S80</f>
        <v>5330865.1500000004</v>
      </c>
      <c r="T83" s="3">
        <f t="shared" si="41"/>
        <v>5587040.3999999985</v>
      </c>
      <c r="U83" s="3">
        <f t="shared" si="41"/>
        <v>5844962.3940000003</v>
      </c>
      <c r="V83" s="3">
        <f t="shared" si="41"/>
        <v>6104360.4479999989</v>
      </c>
      <c r="W83" s="3">
        <f t="shared" si="41"/>
        <v>6364963.8779999996</v>
      </c>
      <c r="X83" s="3">
        <f t="shared" si="41"/>
        <v>6626501.9999999991</v>
      </c>
      <c r="Y83" s="3">
        <f t="shared" si="41"/>
        <v>6888704.1299999999</v>
      </c>
    </row>
    <row r="84" spans="2:27" s="29" customFormat="1" x14ac:dyDescent="0.3">
      <c r="G84" s="29" t="s">
        <v>68</v>
      </c>
      <c r="J84" s="29" t="s">
        <v>65</v>
      </c>
      <c r="K84" s="16"/>
      <c r="L84" s="29">
        <f>L77+L79+L81</f>
        <v>14605.109999999997</v>
      </c>
      <c r="P84" s="29">
        <f>P77+P79+P81</f>
        <v>14605.109999999997</v>
      </c>
      <c r="R84" s="30"/>
      <c r="S84" s="29">
        <f t="shared" ref="S84:Y84" si="42">S77+S79+S81</f>
        <v>14605.109999999997</v>
      </c>
      <c r="T84" s="29">
        <f t="shared" si="42"/>
        <v>15306.96</v>
      </c>
      <c r="U84" s="29">
        <f t="shared" si="42"/>
        <v>16013.595600000001</v>
      </c>
      <c r="V84" s="29">
        <f t="shared" si="42"/>
        <v>16724.2752</v>
      </c>
      <c r="W84" s="29">
        <f t="shared" si="42"/>
        <v>17438.257199999996</v>
      </c>
      <c r="X84" s="29">
        <f t="shared" si="42"/>
        <v>18154.8</v>
      </c>
      <c r="Y84" s="29">
        <f t="shared" si="42"/>
        <v>18873.162</v>
      </c>
    </row>
    <row r="85" spans="2:27" s="29" customFormat="1" ht="15" thickBot="1" x14ac:dyDescent="0.35">
      <c r="B85" s="60" t="s">
        <v>71</v>
      </c>
      <c r="C85" s="60"/>
      <c r="D85" s="60"/>
      <c r="E85" s="60"/>
      <c r="F85" s="60"/>
      <c r="G85" s="60" t="s">
        <v>69</v>
      </c>
      <c r="H85" s="60"/>
      <c r="I85" s="60"/>
      <c r="J85" s="60" t="s">
        <v>70</v>
      </c>
      <c r="K85" s="61"/>
      <c r="L85" s="62">
        <f>IF(L$54=0,0,L83/L$54)</f>
        <v>20.017968750000001</v>
      </c>
      <c r="M85" s="62"/>
      <c r="N85" s="62"/>
      <c r="O85" s="62"/>
      <c r="P85" s="62">
        <f>IF(P$54=0,0,P83/P$54)</f>
        <v>20.017968750000001</v>
      </c>
      <c r="Q85" s="62"/>
      <c r="R85" s="63"/>
      <c r="S85" s="62">
        <f t="shared" ref="S85:Y85" si="43">IF(S$54=0,0,S83/S$54)</f>
        <v>20.017968750000001</v>
      </c>
      <c r="T85" s="62">
        <f t="shared" si="43"/>
        <v>21.203125</v>
      </c>
      <c r="U85" s="62">
        <f t="shared" si="43"/>
        <v>22.420468750000001</v>
      </c>
      <c r="V85" s="62">
        <f t="shared" si="43"/>
        <v>23.669999999999995</v>
      </c>
      <c r="W85" s="62">
        <f t="shared" si="43"/>
        <v>24.951718750000001</v>
      </c>
      <c r="X85" s="62">
        <f t="shared" si="43"/>
        <v>26.265625000000004</v>
      </c>
      <c r="Y85" s="62">
        <f t="shared" si="43"/>
        <v>27.611718750000001</v>
      </c>
    </row>
    <row r="86" spans="2:27" ht="15" thickTop="1" x14ac:dyDescent="0.3">
      <c r="B86" s="64"/>
      <c r="C86" s="64"/>
      <c r="D86" s="64"/>
      <c r="E86" s="64"/>
      <c r="F86" s="64"/>
      <c r="G86" s="64"/>
      <c r="H86" s="64"/>
      <c r="I86" s="64"/>
      <c r="J86" s="64"/>
      <c r="K86" s="65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</row>
    <row r="87" spans="2:27" x14ac:dyDescent="0.3">
      <c r="E87" s="14"/>
      <c r="F87" s="2" t="s">
        <v>82</v>
      </c>
      <c r="J87" s="2" t="s">
        <v>8</v>
      </c>
      <c r="K87" s="6" t="s">
        <v>11</v>
      </c>
      <c r="L87" s="7">
        <v>0.5</v>
      </c>
      <c r="N87" s="7">
        <v>0</v>
      </c>
      <c r="P87" s="7">
        <f>L87+N87</f>
        <v>0.5</v>
      </c>
      <c r="R87" s="11"/>
      <c r="S87" s="12">
        <f>$P87</f>
        <v>0.5</v>
      </c>
      <c r="T87" s="12">
        <f>$P87+$P88*(T$5-1)</f>
        <v>0.51</v>
      </c>
      <c r="U87" s="12">
        <f t="shared" ref="U87:Y87" si="44">$P87+$P88*(U$5-1)</f>
        <v>0.52</v>
      </c>
      <c r="V87" s="12">
        <f t="shared" si="44"/>
        <v>0.53</v>
      </c>
      <c r="W87" s="12">
        <f t="shared" si="44"/>
        <v>0.54</v>
      </c>
      <c r="X87" s="12">
        <f t="shared" si="44"/>
        <v>0.55000000000000004</v>
      </c>
      <c r="Y87" s="12">
        <f t="shared" si="44"/>
        <v>0.56000000000000005</v>
      </c>
    </row>
    <row r="88" spans="2:27" s="8" customFormat="1" x14ac:dyDescent="0.3">
      <c r="G88" s="8" t="s">
        <v>10</v>
      </c>
      <c r="J88" s="8" t="s">
        <v>8</v>
      </c>
      <c r="K88" s="9" t="s">
        <v>11</v>
      </c>
      <c r="L88" s="10">
        <v>0.01</v>
      </c>
      <c r="N88" s="10">
        <v>0</v>
      </c>
      <c r="P88" s="10">
        <f>L88+N88</f>
        <v>0.01</v>
      </c>
      <c r="R88" s="13"/>
      <c r="S88" s="13"/>
      <c r="T88" s="13"/>
      <c r="U88" s="13"/>
      <c r="V88" s="13"/>
      <c r="W88" s="13"/>
      <c r="X88" s="13"/>
      <c r="Y88" s="13"/>
    </row>
    <row r="89" spans="2:27" x14ac:dyDescent="0.3">
      <c r="F89" s="2" t="s">
        <v>83</v>
      </c>
      <c r="J89" s="2" t="s">
        <v>22</v>
      </c>
      <c r="L89" s="2">
        <f>L37*L$87</f>
        <v>8.6687499999999691</v>
      </c>
      <c r="P89" s="2">
        <f>P37*P$87</f>
        <v>8.6687499999999691</v>
      </c>
      <c r="R89" s="11"/>
      <c r="S89" s="2">
        <f t="shared" ref="S89:Y89" si="45">S37*S$87</f>
        <v>8.6687499999999691</v>
      </c>
      <c r="T89" s="2">
        <f t="shared" si="45"/>
        <v>8.7490499999999685</v>
      </c>
      <c r="U89" s="2">
        <f t="shared" si="45"/>
        <v>8.8256999999999692</v>
      </c>
      <c r="V89" s="2">
        <f t="shared" si="45"/>
        <v>8.8986999999999679</v>
      </c>
      <c r="W89" s="2">
        <f t="shared" si="45"/>
        <v>8.9680499999999697</v>
      </c>
      <c r="X89" s="2">
        <f t="shared" si="45"/>
        <v>9.0337499999999675</v>
      </c>
      <c r="Y89" s="2">
        <f t="shared" si="45"/>
        <v>9.0957999999999668</v>
      </c>
    </row>
    <row r="90" spans="2:27" s="15" customFormat="1" x14ac:dyDescent="0.3">
      <c r="G90" s="15" t="s">
        <v>84</v>
      </c>
      <c r="J90" s="15" t="s">
        <v>28</v>
      </c>
      <c r="K90" s="16"/>
      <c r="L90" s="20">
        <f>L38*L$87</f>
        <v>0.56999999999999795</v>
      </c>
      <c r="N90" s="20"/>
      <c r="P90" s="20">
        <f>P38*P$87</f>
        <v>0.56999999999999795</v>
      </c>
      <c r="R90" s="17"/>
      <c r="S90" s="20">
        <f t="shared" ref="S90:Y90" si="46">S38*S$87</f>
        <v>0.56999999999999795</v>
      </c>
      <c r="T90" s="20">
        <f t="shared" si="46"/>
        <v>0.5752799999999979</v>
      </c>
      <c r="U90" s="20">
        <f t="shared" si="46"/>
        <v>0.58031999999999795</v>
      </c>
      <c r="V90" s="20">
        <f t="shared" si="46"/>
        <v>0.58511999999999798</v>
      </c>
      <c r="W90" s="20">
        <f t="shared" si="46"/>
        <v>0.58967999999999776</v>
      </c>
      <c r="X90" s="20">
        <f t="shared" si="46"/>
        <v>0.59399999999999786</v>
      </c>
      <c r="Y90" s="20">
        <f t="shared" si="46"/>
        <v>0.59807999999999795</v>
      </c>
    </row>
    <row r="92" spans="2:27" s="3" customFormat="1" x14ac:dyDescent="0.3">
      <c r="E92" s="23"/>
      <c r="F92" s="3" t="s">
        <v>85</v>
      </c>
      <c r="K92" s="6"/>
      <c r="R92" s="19"/>
      <c r="S92" s="19"/>
      <c r="T92" s="19"/>
      <c r="U92" s="19"/>
      <c r="V92" s="19"/>
      <c r="W92" s="19"/>
      <c r="X92" s="19"/>
      <c r="Y92" s="19"/>
    </row>
    <row r="93" spans="2:27" x14ac:dyDescent="0.3">
      <c r="F93" s="2" t="str">
        <f>F92</f>
        <v>стоимость платной стоянки</v>
      </c>
      <c r="J93" s="2" t="s">
        <v>86</v>
      </c>
      <c r="K93" s="6" t="s">
        <v>11</v>
      </c>
      <c r="L93" s="24">
        <v>200</v>
      </c>
      <c r="M93" s="24"/>
      <c r="N93" s="24">
        <v>0</v>
      </c>
      <c r="O93" s="24"/>
      <c r="P93" s="24">
        <f t="shared" ref="P93" si="47">L93+N93</f>
        <v>200</v>
      </c>
      <c r="Q93" s="24"/>
      <c r="R93" s="25"/>
      <c r="S93" s="25">
        <f t="shared" ref="S93" si="48">$P93</f>
        <v>200</v>
      </c>
      <c r="T93" s="25">
        <f>$P93+$P94*(T$5-1)</f>
        <v>210</v>
      </c>
      <c r="U93" s="25">
        <f t="shared" ref="U93:Y93" si="49">$P93+$P94*(U$5-1)</f>
        <v>220</v>
      </c>
      <c r="V93" s="25">
        <f t="shared" si="49"/>
        <v>230</v>
      </c>
      <c r="W93" s="25">
        <f t="shared" si="49"/>
        <v>240</v>
      </c>
      <c r="X93" s="25">
        <f t="shared" si="49"/>
        <v>250</v>
      </c>
      <c r="Y93" s="25">
        <f t="shared" si="49"/>
        <v>260</v>
      </c>
      <c r="Z93" s="25"/>
      <c r="AA93" s="25"/>
    </row>
    <row r="94" spans="2:27" s="8" customFormat="1" x14ac:dyDescent="0.3">
      <c r="G94" s="8" t="s">
        <v>87</v>
      </c>
      <c r="J94" s="2" t="s">
        <v>86</v>
      </c>
      <c r="K94" s="9" t="s">
        <v>11</v>
      </c>
      <c r="L94" s="26">
        <v>10</v>
      </c>
      <c r="M94" s="26"/>
      <c r="N94" s="26">
        <v>0</v>
      </c>
      <c r="O94" s="26"/>
      <c r="P94" s="26">
        <f>L94+N94</f>
        <v>10</v>
      </c>
      <c r="Q94" s="26"/>
      <c r="R94" s="27"/>
      <c r="S94" s="27"/>
      <c r="T94" s="27"/>
      <c r="U94" s="27"/>
      <c r="V94" s="27"/>
      <c r="W94" s="27"/>
      <c r="X94" s="27"/>
      <c r="Y94" s="27"/>
    </row>
    <row r="96" spans="2:27" s="3" customFormat="1" x14ac:dyDescent="0.3">
      <c r="B96" s="3" t="s">
        <v>66</v>
      </c>
      <c r="E96" s="23"/>
      <c r="F96" s="3" t="s">
        <v>88</v>
      </c>
      <c r="J96" s="3" t="s">
        <v>64</v>
      </c>
      <c r="K96" s="6"/>
      <c r="L96" s="3">
        <f>L$12*L89*L93</f>
        <v>41609.999999999854</v>
      </c>
      <c r="P96" s="3">
        <f>P$12*P89*P93</f>
        <v>41609.999999999854</v>
      </c>
      <c r="R96" s="19"/>
      <c r="S96" s="3">
        <f t="shared" ref="S96:Y96" si="50">S$12*S89*S93</f>
        <v>41609.999999999854</v>
      </c>
      <c r="T96" s="3">
        <f t="shared" si="50"/>
        <v>44095.211999999839</v>
      </c>
      <c r="U96" s="3">
        <f t="shared" si="50"/>
        <v>46599.695999999836</v>
      </c>
      <c r="V96" s="3">
        <f t="shared" si="50"/>
        <v>49120.823999999819</v>
      </c>
      <c r="W96" s="3">
        <f t="shared" si="50"/>
        <v>51655.967999999826</v>
      </c>
      <c r="X96" s="3">
        <f t="shared" si="50"/>
        <v>54202.499999999804</v>
      </c>
      <c r="Y96" s="3">
        <f t="shared" si="50"/>
        <v>56757.79199999979</v>
      </c>
    </row>
    <row r="97" spans="2:27" s="29" customFormat="1" x14ac:dyDescent="0.3">
      <c r="G97" s="29" t="s">
        <v>89</v>
      </c>
      <c r="J97" s="29" t="s">
        <v>65</v>
      </c>
      <c r="K97" s="16"/>
      <c r="L97" s="29">
        <f>L90*L93</f>
        <v>113.99999999999959</v>
      </c>
      <c r="P97" s="29">
        <f>P90*P93</f>
        <v>113.99999999999959</v>
      </c>
      <c r="R97" s="30"/>
      <c r="S97" s="29">
        <f t="shared" ref="S97:Y97" si="51">S90*S93</f>
        <v>113.99999999999959</v>
      </c>
      <c r="T97" s="29">
        <f t="shared" si="51"/>
        <v>120.80879999999956</v>
      </c>
      <c r="U97" s="29">
        <f t="shared" si="51"/>
        <v>127.67039999999955</v>
      </c>
      <c r="V97" s="29">
        <f t="shared" si="51"/>
        <v>134.57759999999953</v>
      </c>
      <c r="W97" s="29">
        <f t="shared" si="51"/>
        <v>141.52319999999946</v>
      </c>
      <c r="X97" s="29">
        <f t="shared" si="51"/>
        <v>148.49999999999946</v>
      </c>
      <c r="Y97" s="29">
        <f t="shared" si="51"/>
        <v>155.50079999999946</v>
      </c>
    </row>
    <row r="98" spans="2:27" s="29" customFormat="1" ht="15" thickBot="1" x14ac:dyDescent="0.35">
      <c r="B98" s="60" t="s">
        <v>71</v>
      </c>
      <c r="C98" s="60"/>
      <c r="D98" s="60"/>
      <c r="E98" s="60"/>
      <c r="F98" s="60"/>
      <c r="G98" s="60" t="s">
        <v>90</v>
      </c>
      <c r="H98" s="60"/>
      <c r="I98" s="60"/>
      <c r="J98" s="60" t="s">
        <v>70</v>
      </c>
      <c r="K98" s="61"/>
      <c r="L98" s="62">
        <f>IF(L$54=0,0,L96/L$54)</f>
        <v>0.15624999999999944</v>
      </c>
      <c r="M98" s="62"/>
      <c r="N98" s="62"/>
      <c r="O98" s="62"/>
      <c r="P98" s="62">
        <f>IF(P$54=0,0,P96/P$54)</f>
        <v>0.15624999999999944</v>
      </c>
      <c r="Q98" s="62"/>
      <c r="R98" s="63"/>
      <c r="S98" s="62">
        <f t="shared" ref="S98:Y98" si="52">IF(S$54=0,0,S96/S$54)</f>
        <v>0.15624999999999944</v>
      </c>
      <c r="T98" s="62">
        <f t="shared" si="52"/>
        <v>0.16734374999999943</v>
      </c>
      <c r="U98" s="62">
        <f t="shared" si="52"/>
        <v>0.17874999999999935</v>
      </c>
      <c r="V98" s="62">
        <f t="shared" si="52"/>
        <v>0.1904687499999993</v>
      </c>
      <c r="W98" s="62">
        <f t="shared" si="52"/>
        <v>0.20249999999999935</v>
      </c>
      <c r="X98" s="62">
        <f t="shared" si="52"/>
        <v>0.21484374999999928</v>
      </c>
      <c r="Y98" s="62">
        <f t="shared" si="52"/>
        <v>0.22749999999999918</v>
      </c>
    </row>
    <row r="99" spans="2:27" ht="15" thickTop="1" x14ac:dyDescent="0.3">
      <c r="B99" s="64"/>
      <c r="C99" s="64"/>
      <c r="D99" s="64"/>
      <c r="E99" s="64"/>
      <c r="F99" s="64"/>
      <c r="G99" s="64"/>
      <c r="H99" s="64"/>
      <c r="I99" s="64"/>
      <c r="J99" s="64"/>
      <c r="K99" s="65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</row>
    <row r="100" spans="2:27" x14ac:dyDescent="0.3">
      <c r="E100" s="14"/>
      <c r="F100" s="2" t="s">
        <v>91</v>
      </c>
      <c r="J100" s="2" t="s">
        <v>8</v>
      </c>
      <c r="K100" s="6" t="s">
        <v>11</v>
      </c>
      <c r="L100" s="7">
        <v>0.2</v>
      </c>
      <c r="N100" s="7">
        <v>0</v>
      </c>
      <c r="P100" s="7">
        <f>L100+N100</f>
        <v>0.2</v>
      </c>
      <c r="R100" s="11"/>
      <c r="S100" s="12">
        <f>$P100</f>
        <v>0.2</v>
      </c>
      <c r="T100" s="12">
        <f>$P100+$P101*(T$5-1)</f>
        <v>0.21000000000000002</v>
      </c>
      <c r="U100" s="12">
        <f t="shared" ref="U100:Y100" si="53">$P100+$P101*(U$5-1)</f>
        <v>0.22</v>
      </c>
      <c r="V100" s="12">
        <f t="shared" si="53"/>
        <v>0.23</v>
      </c>
      <c r="W100" s="12">
        <f t="shared" si="53"/>
        <v>0.24000000000000002</v>
      </c>
      <c r="X100" s="12">
        <f t="shared" si="53"/>
        <v>0.25</v>
      </c>
      <c r="Y100" s="12">
        <f t="shared" si="53"/>
        <v>0.26</v>
      </c>
    </row>
    <row r="101" spans="2:27" s="8" customFormat="1" x14ac:dyDescent="0.3">
      <c r="G101" s="8" t="s">
        <v>10</v>
      </c>
      <c r="J101" s="8" t="s">
        <v>8</v>
      </c>
      <c r="K101" s="9" t="s">
        <v>11</v>
      </c>
      <c r="L101" s="10">
        <v>0.01</v>
      </c>
      <c r="N101" s="10">
        <v>0</v>
      </c>
      <c r="P101" s="10">
        <f>L101+N101</f>
        <v>0.01</v>
      </c>
      <c r="R101" s="13"/>
      <c r="S101" s="13"/>
      <c r="T101" s="13"/>
      <c r="U101" s="13"/>
      <c r="V101" s="13"/>
      <c r="W101" s="13"/>
      <c r="X101" s="13"/>
      <c r="Y101" s="13"/>
    </row>
    <row r="102" spans="2:27" x14ac:dyDescent="0.3">
      <c r="F102" s="2" t="s">
        <v>92</v>
      </c>
      <c r="J102" s="2" t="s">
        <v>35</v>
      </c>
      <c r="L102" s="2">
        <f>(L46+L48+L50)*L$100</f>
        <v>85716.6</v>
      </c>
      <c r="P102" s="2">
        <f>(P46+P48+P50)*P$100</f>
        <v>85716.6</v>
      </c>
      <c r="R102" s="11"/>
      <c r="S102" s="2">
        <f t="shared" ref="S102:Y102" si="54">(S46+S48+S50)*S$100</f>
        <v>85716.6</v>
      </c>
      <c r="T102" s="2">
        <f t="shared" si="54"/>
        <v>89055.035999999993</v>
      </c>
      <c r="U102" s="2">
        <f t="shared" si="54"/>
        <v>92303.244000000006</v>
      </c>
      <c r="V102" s="2">
        <f t="shared" si="54"/>
        <v>95461.223999999987</v>
      </c>
      <c r="W102" s="2">
        <f t="shared" si="54"/>
        <v>98528.975999999995</v>
      </c>
      <c r="X102" s="2">
        <f t="shared" si="54"/>
        <v>101506.49999999999</v>
      </c>
      <c r="Y102" s="2">
        <f t="shared" si="54"/>
        <v>104393.796</v>
      </c>
    </row>
    <row r="103" spans="2:27" s="15" customFormat="1" x14ac:dyDescent="0.3">
      <c r="G103" s="15" t="s">
        <v>93</v>
      </c>
      <c r="J103" s="15" t="s">
        <v>36</v>
      </c>
      <c r="K103" s="16"/>
      <c r="L103" s="20">
        <f>(L47+L49+L51)*L$100</f>
        <v>234.83999999999997</v>
      </c>
      <c r="N103" s="20"/>
      <c r="P103" s="20">
        <f>(P47+P49+P51)*P$100</f>
        <v>234.83999999999997</v>
      </c>
      <c r="R103" s="17"/>
      <c r="S103" s="20">
        <f t="shared" ref="S103:Y103" si="55">(S47+S49+S51)*S$100</f>
        <v>234.83999999999997</v>
      </c>
      <c r="T103" s="20">
        <f t="shared" si="55"/>
        <v>243.98639999999995</v>
      </c>
      <c r="U103" s="20">
        <f t="shared" si="55"/>
        <v>252.88560000000001</v>
      </c>
      <c r="V103" s="20">
        <f t="shared" si="55"/>
        <v>261.5376</v>
      </c>
      <c r="W103" s="20">
        <f t="shared" si="55"/>
        <v>269.94239999999996</v>
      </c>
      <c r="X103" s="20">
        <f t="shared" si="55"/>
        <v>278.09999999999997</v>
      </c>
      <c r="Y103" s="20">
        <f t="shared" si="55"/>
        <v>286.0104</v>
      </c>
    </row>
    <row r="105" spans="2:27" s="3" customFormat="1" x14ac:dyDescent="0.3">
      <c r="E105" s="23"/>
      <c r="F105" s="3" t="s">
        <v>94</v>
      </c>
      <c r="K105" s="6"/>
      <c r="R105" s="19"/>
      <c r="S105" s="19"/>
      <c r="T105" s="19"/>
      <c r="U105" s="19"/>
      <c r="V105" s="19"/>
      <c r="W105" s="19"/>
      <c r="X105" s="19"/>
      <c r="Y105" s="19"/>
    </row>
    <row r="106" spans="2:27" x14ac:dyDescent="0.3">
      <c r="F106" s="2" t="str">
        <f>F105</f>
        <v>стоимость платных трасс</v>
      </c>
      <c r="J106" s="2" t="s">
        <v>70</v>
      </c>
      <c r="K106" s="6" t="s">
        <v>11</v>
      </c>
      <c r="L106" s="24">
        <v>150</v>
      </c>
      <c r="M106" s="24"/>
      <c r="N106" s="24">
        <v>0</v>
      </c>
      <c r="O106" s="24"/>
      <c r="P106" s="24">
        <f t="shared" ref="P106" si="56">L106+N106</f>
        <v>150</v>
      </c>
      <c r="Q106" s="24"/>
      <c r="R106" s="25"/>
      <c r="S106" s="25">
        <f t="shared" ref="S106" si="57">$P106</f>
        <v>150</v>
      </c>
      <c r="T106" s="25">
        <f>$P106+$P107*(T$5-1)</f>
        <v>160</v>
      </c>
      <c r="U106" s="25">
        <f t="shared" ref="U106:Y106" si="58">$P106+$P107*(U$5-1)</f>
        <v>170</v>
      </c>
      <c r="V106" s="25">
        <f t="shared" si="58"/>
        <v>180</v>
      </c>
      <c r="W106" s="25">
        <f t="shared" si="58"/>
        <v>190</v>
      </c>
      <c r="X106" s="25">
        <f t="shared" si="58"/>
        <v>200</v>
      </c>
      <c r="Y106" s="25">
        <f t="shared" si="58"/>
        <v>210</v>
      </c>
      <c r="Z106" s="25"/>
      <c r="AA106" s="25"/>
    </row>
    <row r="107" spans="2:27" s="8" customFormat="1" x14ac:dyDescent="0.3">
      <c r="G107" s="8" t="s">
        <v>95</v>
      </c>
      <c r="J107" s="2" t="s">
        <v>70</v>
      </c>
      <c r="K107" s="9" t="s">
        <v>11</v>
      </c>
      <c r="L107" s="26">
        <v>10</v>
      </c>
      <c r="M107" s="26"/>
      <c r="N107" s="26">
        <v>0</v>
      </c>
      <c r="O107" s="26"/>
      <c r="P107" s="26">
        <f>L107+N107</f>
        <v>10</v>
      </c>
      <c r="Q107" s="26"/>
      <c r="R107" s="27"/>
      <c r="S107" s="27"/>
      <c r="T107" s="27"/>
      <c r="U107" s="27"/>
      <c r="V107" s="27"/>
      <c r="W107" s="27"/>
      <c r="X107" s="27"/>
      <c r="Y107" s="27"/>
    </row>
    <row r="109" spans="2:27" s="3" customFormat="1" x14ac:dyDescent="0.3">
      <c r="B109" s="3" t="s">
        <v>66</v>
      </c>
      <c r="E109" s="23"/>
      <c r="F109" s="3" t="s">
        <v>96</v>
      </c>
      <c r="J109" s="3" t="s">
        <v>64</v>
      </c>
      <c r="K109" s="6"/>
      <c r="L109" s="3">
        <f>L102*L106</f>
        <v>12857490</v>
      </c>
      <c r="P109" s="3">
        <f>P102*P106</f>
        <v>12857490</v>
      </c>
      <c r="R109" s="19"/>
      <c r="S109" s="3">
        <f t="shared" ref="S109:Y109" si="59">S102*S106</f>
        <v>12857490</v>
      </c>
      <c r="T109" s="3">
        <f t="shared" si="59"/>
        <v>14248805.759999998</v>
      </c>
      <c r="U109" s="3">
        <f t="shared" si="59"/>
        <v>15691551.48</v>
      </c>
      <c r="V109" s="3">
        <f t="shared" si="59"/>
        <v>17183020.319999997</v>
      </c>
      <c r="W109" s="3">
        <f t="shared" si="59"/>
        <v>18720505.439999998</v>
      </c>
      <c r="X109" s="3">
        <f t="shared" si="59"/>
        <v>20301299.999999996</v>
      </c>
      <c r="Y109" s="3">
        <f t="shared" si="59"/>
        <v>21922697.16</v>
      </c>
    </row>
    <row r="110" spans="2:27" s="29" customFormat="1" x14ac:dyDescent="0.3">
      <c r="G110" s="29" t="s">
        <v>97</v>
      </c>
      <c r="J110" s="29" t="s">
        <v>65</v>
      </c>
      <c r="K110" s="16"/>
      <c r="L110" s="29">
        <f>L103*L106</f>
        <v>35225.999999999993</v>
      </c>
      <c r="P110" s="29">
        <f>P103*P106</f>
        <v>35225.999999999993</v>
      </c>
      <c r="R110" s="30"/>
      <c r="S110" s="29">
        <f t="shared" ref="S110:Y110" si="60">S103*S106</f>
        <v>35225.999999999993</v>
      </c>
      <c r="T110" s="29">
        <f t="shared" si="60"/>
        <v>39037.823999999993</v>
      </c>
      <c r="U110" s="29">
        <f t="shared" si="60"/>
        <v>42990.552000000003</v>
      </c>
      <c r="V110" s="29">
        <f t="shared" si="60"/>
        <v>47076.767999999996</v>
      </c>
      <c r="W110" s="29">
        <f t="shared" si="60"/>
        <v>51289.05599999999</v>
      </c>
      <c r="X110" s="29">
        <f t="shared" si="60"/>
        <v>55619.999999999993</v>
      </c>
      <c r="Y110" s="29">
        <f t="shared" si="60"/>
        <v>60062.184000000001</v>
      </c>
    </row>
    <row r="111" spans="2:27" s="29" customFormat="1" ht="15" thickBot="1" x14ac:dyDescent="0.35">
      <c r="B111" s="60" t="s">
        <v>71</v>
      </c>
      <c r="C111" s="60"/>
      <c r="D111" s="60"/>
      <c r="E111" s="60"/>
      <c r="F111" s="60"/>
      <c r="G111" s="60" t="s">
        <v>98</v>
      </c>
      <c r="H111" s="60"/>
      <c r="I111" s="60"/>
      <c r="J111" s="60" t="s">
        <v>70</v>
      </c>
      <c r="K111" s="61"/>
      <c r="L111" s="62">
        <f>IF(L$54=0,0,L109/L$54)</f>
        <v>48.28125</v>
      </c>
      <c r="M111" s="62"/>
      <c r="N111" s="62"/>
      <c r="O111" s="62"/>
      <c r="P111" s="62">
        <f>IF(P$54=0,0,P109/P$54)</f>
        <v>48.28125</v>
      </c>
      <c r="Q111" s="62"/>
      <c r="R111" s="63"/>
      <c r="S111" s="62">
        <f t="shared" ref="S111:Y111" si="61">IF(S$54=0,0,S109/S$54)</f>
        <v>48.28125</v>
      </c>
      <c r="T111" s="62">
        <f t="shared" si="61"/>
        <v>54.07500000000001</v>
      </c>
      <c r="U111" s="62">
        <f t="shared" si="61"/>
        <v>60.190624999999997</v>
      </c>
      <c r="V111" s="62">
        <f t="shared" si="61"/>
        <v>66.628124999999983</v>
      </c>
      <c r="W111" s="62">
        <f t="shared" si="61"/>
        <v>73.387500000000003</v>
      </c>
      <c r="X111" s="62">
        <f t="shared" si="61"/>
        <v>80.46875</v>
      </c>
      <c r="Y111" s="62">
        <f t="shared" si="61"/>
        <v>87.871875000000003</v>
      </c>
    </row>
    <row r="112" spans="2:27" ht="15" thickTop="1" x14ac:dyDescent="0.3">
      <c r="B112" s="64"/>
      <c r="C112" s="64"/>
      <c r="D112" s="64"/>
      <c r="E112" s="64"/>
      <c r="F112" s="64"/>
      <c r="G112" s="64"/>
      <c r="H112" s="64"/>
      <c r="I112" s="64"/>
      <c r="J112" s="64"/>
      <c r="K112" s="65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</row>
    <row r="113" spans="2:27" s="3" customFormat="1" x14ac:dyDescent="0.3">
      <c r="E113" s="23"/>
      <c r="F113" s="3" t="s">
        <v>120</v>
      </c>
      <c r="K113" s="6"/>
      <c r="R113" s="19"/>
      <c r="S113" s="19"/>
      <c r="T113" s="19"/>
      <c r="U113" s="19"/>
      <c r="V113" s="19"/>
      <c r="W113" s="19"/>
      <c r="X113" s="19"/>
      <c r="Y113" s="19"/>
    </row>
    <row r="114" spans="2:27" x14ac:dyDescent="0.3">
      <c r="F114" s="2" t="str">
        <f>F113</f>
        <v>стоимость дорожных сборов Платон</v>
      </c>
      <c r="J114" s="2" t="s">
        <v>70</v>
      </c>
      <c r="K114" s="6" t="s">
        <v>11</v>
      </c>
      <c r="L114" s="24">
        <v>2.34</v>
      </c>
      <c r="M114" s="24"/>
      <c r="N114" s="24">
        <v>0</v>
      </c>
      <c r="O114" s="24"/>
      <c r="P114" s="24">
        <f t="shared" ref="P114" si="62">L114+N114</f>
        <v>2.34</v>
      </c>
      <c r="Q114" s="24"/>
      <c r="R114" s="25"/>
      <c r="S114" s="25">
        <f t="shared" ref="S114" si="63">$P114</f>
        <v>2.34</v>
      </c>
      <c r="T114" s="25">
        <f>$P114+$P115*(T$5-1)</f>
        <v>2.54</v>
      </c>
      <c r="U114" s="25">
        <f t="shared" ref="U114:Y114" si="64">$P114+$P115*(U$5-1)</f>
        <v>2.7399999999999998</v>
      </c>
      <c r="V114" s="25">
        <f t="shared" si="64"/>
        <v>2.94</v>
      </c>
      <c r="W114" s="25">
        <f t="shared" si="64"/>
        <v>3.1399999999999997</v>
      </c>
      <c r="X114" s="25">
        <f t="shared" si="64"/>
        <v>3.34</v>
      </c>
      <c r="Y114" s="25">
        <f t="shared" si="64"/>
        <v>3.54</v>
      </c>
      <c r="Z114" s="25"/>
      <c r="AA114" s="25"/>
    </row>
    <row r="115" spans="2:27" s="8" customFormat="1" x14ac:dyDescent="0.3">
      <c r="G115" s="8" t="s">
        <v>121</v>
      </c>
      <c r="J115" s="2" t="s">
        <v>70</v>
      </c>
      <c r="K115" s="9" t="s">
        <v>11</v>
      </c>
      <c r="L115" s="26">
        <v>0.2</v>
      </c>
      <c r="M115" s="26"/>
      <c r="N115" s="26">
        <v>0</v>
      </c>
      <c r="O115" s="26"/>
      <c r="P115" s="26">
        <f>L115+N115</f>
        <v>0.2</v>
      </c>
      <c r="Q115" s="26"/>
      <c r="R115" s="27"/>
      <c r="S115" s="27"/>
      <c r="T115" s="27"/>
      <c r="U115" s="27"/>
      <c r="V115" s="27"/>
      <c r="W115" s="27"/>
      <c r="X115" s="27"/>
      <c r="Y115" s="27"/>
    </row>
    <row r="117" spans="2:27" s="3" customFormat="1" x14ac:dyDescent="0.3">
      <c r="B117" s="3" t="s">
        <v>66</v>
      </c>
      <c r="E117" s="23"/>
      <c r="F117" s="3" t="s">
        <v>122</v>
      </c>
      <c r="J117" s="3" t="s">
        <v>64</v>
      </c>
      <c r="K117" s="6"/>
      <c r="L117" s="3">
        <f>(L46+L48+L50)*L114</f>
        <v>1002884.22</v>
      </c>
      <c r="P117" s="3">
        <f>(P46+P48+P50)*P114</f>
        <v>1002884.22</v>
      </c>
      <c r="R117" s="19"/>
      <c r="S117" s="3">
        <f t="shared" ref="S117:Y117" si="65">(S46+S48+S50)*S114</f>
        <v>1002884.22</v>
      </c>
      <c r="T117" s="3">
        <f t="shared" si="65"/>
        <v>1077141.8639999998</v>
      </c>
      <c r="U117" s="3">
        <f t="shared" si="65"/>
        <v>1149594.9479999999</v>
      </c>
      <c r="V117" s="3">
        <f t="shared" si="65"/>
        <v>1220243.4719999998</v>
      </c>
      <c r="W117" s="3">
        <f t="shared" si="65"/>
        <v>1289087.4359999998</v>
      </c>
      <c r="X117" s="3">
        <f t="shared" si="65"/>
        <v>1356126.8399999999</v>
      </c>
      <c r="Y117" s="3">
        <f t="shared" si="65"/>
        <v>1421361.6839999999</v>
      </c>
    </row>
    <row r="118" spans="2:27" s="29" customFormat="1" x14ac:dyDescent="0.3">
      <c r="G118" s="29" t="s">
        <v>123</v>
      </c>
      <c r="J118" s="29" t="s">
        <v>65</v>
      </c>
      <c r="K118" s="16"/>
      <c r="L118" s="29">
        <f>(L47+L49+L51)*L114</f>
        <v>2747.6279999999992</v>
      </c>
      <c r="P118" s="29">
        <f>(P47+P49+P51)*P114</f>
        <v>2747.6279999999992</v>
      </c>
      <c r="R118" s="30"/>
      <c r="S118" s="29">
        <f t="shared" ref="S118:Y118" si="66">(S47+S49+S51)*S114</f>
        <v>2747.6279999999992</v>
      </c>
      <c r="T118" s="29">
        <f t="shared" si="66"/>
        <v>2951.0735999999993</v>
      </c>
      <c r="U118" s="29">
        <f t="shared" si="66"/>
        <v>3149.5751999999998</v>
      </c>
      <c r="V118" s="29">
        <f t="shared" si="66"/>
        <v>3343.1327999999994</v>
      </c>
      <c r="W118" s="29">
        <f t="shared" si="66"/>
        <v>3531.7463999999991</v>
      </c>
      <c r="X118" s="29">
        <f t="shared" si="66"/>
        <v>3715.4159999999993</v>
      </c>
      <c r="Y118" s="29">
        <f t="shared" si="66"/>
        <v>3894.1415999999999</v>
      </c>
    </row>
    <row r="119" spans="2:27" s="29" customFormat="1" ht="15" thickBot="1" x14ac:dyDescent="0.35">
      <c r="B119" s="60" t="s">
        <v>71</v>
      </c>
      <c r="C119" s="60"/>
      <c r="D119" s="60"/>
      <c r="E119" s="60"/>
      <c r="F119" s="60"/>
      <c r="G119" s="60" t="s">
        <v>124</v>
      </c>
      <c r="H119" s="60"/>
      <c r="I119" s="60"/>
      <c r="J119" s="60" t="s">
        <v>70</v>
      </c>
      <c r="K119" s="61"/>
      <c r="L119" s="62">
        <f>IF(L$54=0,0,L117/L$54)</f>
        <v>3.7659374999999997</v>
      </c>
      <c r="M119" s="62"/>
      <c r="N119" s="62"/>
      <c r="O119" s="62"/>
      <c r="P119" s="62">
        <f>IF(P$54=0,0,P117/P$54)</f>
        <v>3.7659374999999997</v>
      </c>
      <c r="Q119" s="62"/>
      <c r="R119" s="63"/>
      <c r="S119" s="62">
        <f t="shared" ref="S119:Y119" si="67">IF(S$54=0,0,S117/S$54)</f>
        <v>3.7659374999999997</v>
      </c>
      <c r="T119" s="62">
        <f t="shared" si="67"/>
        <v>4.0878125000000001</v>
      </c>
      <c r="U119" s="62">
        <f t="shared" si="67"/>
        <v>4.4096874999999995</v>
      </c>
      <c r="V119" s="62">
        <f t="shared" si="67"/>
        <v>4.7315624999999999</v>
      </c>
      <c r="W119" s="62">
        <f t="shared" si="67"/>
        <v>5.0534375000000002</v>
      </c>
      <c r="X119" s="62">
        <f t="shared" si="67"/>
        <v>5.3753125000000006</v>
      </c>
      <c r="Y119" s="62">
        <f t="shared" si="67"/>
        <v>5.6971875000000001</v>
      </c>
    </row>
    <row r="120" spans="2:27" ht="15" thickTop="1" x14ac:dyDescent="0.3">
      <c r="B120" s="64"/>
      <c r="C120" s="64"/>
      <c r="D120" s="64"/>
      <c r="E120" s="64"/>
      <c r="F120" s="64"/>
      <c r="G120" s="64"/>
      <c r="H120" s="64"/>
      <c r="I120" s="64"/>
      <c r="J120" s="64"/>
      <c r="K120" s="65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</row>
    <row r="121" spans="2:27" x14ac:dyDescent="0.3">
      <c r="E121" s="14"/>
      <c r="F121" s="2" t="s">
        <v>100</v>
      </c>
      <c r="J121" s="2" t="s">
        <v>22</v>
      </c>
      <c r="L121" s="2">
        <f>L29+L31+L33+L35+L37</f>
        <v>346.74999999999989</v>
      </c>
      <c r="P121" s="2">
        <f>P29+P31+P33+P35+P37</f>
        <v>346.74999999999989</v>
      </c>
      <c r="R121" s="11"/>
      <c r="S121" s="2">
        <f t="shared" ref="S121:Y121" si="68">S29+S31+S33+S35+S37</f>
        <v>346.74999999999989</v>
      </c>
      <c r="T121" s="2">
        <f t="shared" si="68"/>
        <v>343.09999999999985</v>
      </c>
      <c r="U121" s="2">
        <f t="shared" si="68"/>
        <v>339.44999999999993</v>
      </c>
      <c r="V121" s="2">
        <f t="shared" si="68"/>
        <v>335.79999999999995</v>
      </c>
      <c r="W121" s="2">
        <f t="shared" si="68"/>
        <v>332.14999999999992</v>
      </c>
      <c r="X121" s="2">
        <f t="shared" si="68"/>
        <v>328.49999999999994</v>
      </c>
      <c r="Y121" s="2">
        <f t="shared" si="68"/>
        <v>324.84999999999997</v>
      </c>
    </row>
    <row r="122" spans="2:27" s="15" customFormat="1" x14ac:dyDescent="0.3">
      <c r="G122" s="15" t="s">
        <v>101</v>
      </c>
      <c r="J122" s="15" t="s">
        <v>28</v>
      </c>
      <c r="K122" s="16"/>
      <c r="L122" s="20">
        <f>L30+L32+L34+L36+L38</f>
        <v>22.799999999999997</v>
      </c>
      <c r="N122" s="20"/>
      <c r="P122" s="20">
        <f>P30+P32+P34+P36+P38</f>
        <v>22.799999999999997</v>
      </c>
      <c r="R122" s="17"/>
      <c r="S122" s="20">
        <f t="shared" ref="S122:Y122" si="69">S30+S32+S34+S36+S38</f>
        <v>22.799999999999997</v>
      </c>
      <c r="T122" s="20">
        <f t="shared" si="69"/>
        <v>22.559999999999995</v>
      </c>
      <c r="U122" s="20">
        <f t="shared" si="69"/>
        <v>22.319999999999997</v>
      </c>
      <c r="V122" s="20">
        <f t="shared" si="69"/>
        <v>22.079999999999991</v>
      </c>
      <c r="W122" s="20">
        <f t="shared" si="69"/>
        <v>21.839999999999993</v>
      </c>
      <c r="X122" s="20">
        <f t="shared" si="69"/>
        <v>21.599999999999991</v>
      </c>
      <c r="Y122" s="20">
        <f t="shared" si="69"/>
        <v>21.36</v>
      </c>
    </row>
    <row r="124" spans="2:27" s="3" customFormat="1" x14ac:dyDescent="0.3">
      <c r="E124" s="23"/>
      <c r="F124" s="3" t="s">
        <v>102</v>
      </c>
      <c r="K124" s="6"/>
      <c r="R124" s="19"/>
      <c r="S124" s="19"/>
      <c r="T124" s="19"/>
      <c r="U124" s="19"/>
      <c r="V124" s="19"/>
      <c r="W124" s="19"/>
      <c r="X124" s="19"/>
      <c r="Y124" s="19"/>
    </row>
    <row r="125" spans="2:27" x14ac:dyDescent="0.3">
      <c r="F125" s="2" t="str">
        <f>F124</f>
        <v>ежемесячная з/п водителя</v>
      </c>
      <c r="J125" s="2" t="s">
        <v>104</v>
      </c>
      <c r="K125" s="6" t="s">
        <v>11</v>
      </c>
      <c r="L125" s="24">
        <v>45000</v>
      </c>
      <c r="M125" s="24"/>
      <c r="N125" s="24">
        <v>0</v>
      </c>
      <c r="O125" s="24"/>
      <c r="P125" s="24">
        <f t="shared" ref="P125" si="70">L125+N125</f>
        <v>45000</v>
      </c>
      <c r="Q125" s="24"/>
      <c r="R125" s="25"/>
      <c r="S125" s="25">
        <f t="shared" ref="S125" si="71">$P125</f>
        <v>45000</v>
      </c>
      <c r="T125" s="25">
        <f>$P125+$P126*(T$5-1)</f>
        <v>47000</v>
      </c>
      <c r="U125" s="25">
        <f t="shared" ref="U125:Y125" si="72">$P125+$P126*(U$5-1)</f>
        <v>49000</v>
      </c>
      <c r="V125" s="25">
        <f t="shared" si="72"/>
        <v>51000</v>
      </c>
      <c r="W125" s="25">
        <f t="shared" si="72"/>
        <v>53000</v>
      </c>
      <c r="X125" s="25">
        <f t="shared" si="72"/>
        <v>55000</v>
      </c>
      <c r="Y125" s="25">
        <f t="shared" si="72"/>
        <v>57000</v>
      </c>
      <c r="Z125" s="25"/>
      <c r="AA125" s="25"/>
    </row>
    <row r="126" spans="2:27" s="8" customFormat="1" x14ac:dyDescent="0.3">
      <c r="G126" s="8" t="s">
        <v>103</v>
      </c>
      <c r="J126" s="2" t="s">
        <v>104</v>
      </c>
      <c r="K126" s="9" t="s">
        <v>11</v>
      </c>
      <c r="L126" s="26">
        <v>2000</v>
      </c>
      <c r="M126" s="26"/>
      <c r="N126" s="26">
        <v>0</v>
      </c>
      <c r="O126" s="26"/>
      <c r="P126" s="26">
        <f>L126+N126</f>
        <v>2000</v>
      </c>
      <c r="Q126" s="26"/>
      <c r="R126" s="27"/>
      <c r="S126" s="27"/>
      <c r="T126" s="27"/>
      <c r="U126" s="27"/>
      <c r="V126" s="27"/>
      <c r="W126" s="27"/>
      <c r="X126" s="27"/>
      <c r="Y126" s="27"/>
    </row>
    <row r="127" spans="2:27" x14ac:dyDescent="0.3">
      <c r="F127" s="2" t="s">
        <v>160</v>
      </c>
      <c r="J127" s="2" t="s">
        <v>106</v>
      </c>
      <c r="K127" s="6" t="s">
        <v>11</v>
      </c>
      <c r="L127" s="24">
        <v>10</v>
      </c>
      <c r="M127" s="24"/>
      <c r="N127" s="24">
        <v>0</v>
      </c>
      <c r="O127" s="24"/>
      <c r="P127" s="24">
        <f t="shared" ref="P127" si="73">L127+N127</f>
        <v>10</v>
      </c>
      <c r="Q127" s="24"/>
      <c r="R127" s="25"/>
      <c r="S127" s="25">
        <f>$P127</f>
        <v>10</v>
      </c>
      <c r="T127" s="25">
        <f t="shared" ref="T127:Y128" si="74">$P127</f>
        <v>10</v>
      </c>
      <c r="U127" s="25">
        <f t="shared" si="74"/>
        <v>10</v>
      </c>
      <c r="V127" s="25">
        <f t="shared" si="74"/>
        <v>10</v>
      </c>
      <c r="W127" s="25">
        <f t="shared" si="74"/>
        <v>10</v>
      </c>
      <c r="X127" s="25">
        <f t="shared" si="74"/>
        <v>10</v>
      </c>
      <c r="Y127" s="25">
        <f t="shared" si="74"/>
        <v>10</v>
      </c>
      <c r="Z127" s="25"/>
      <c r="AA127" s="25"/>
    </row>
    <row r="128" spans="2:27" x14ac:dyDescent="0.3">
      <c r="F128" s="2" t="s">
        <v>158</v>
      </c>
      <c r="J128" s="2" t="s">
        <v>159</v>
      </c>
      <c r="K128" s="6" t="s">
        <v>11</v>
      </c>
      <c r="L128" s="24">
        <f>L122/L127</f>
        <v>2.2799999999999998</v>
      </c>
      <c r="M128" s="24"/>
      <c r="N128" s="24">
        <v>0</v>
      </c>
      <c r="O128" s="24"/>
      <c r="P128" s="24">
        <f t="shared" ref="P128" si="75">L128+N128</f>
        <v>2.2799999999999998</v>
      </c>
      <c r="Q128" s="24"/>
      <c r="R128" s="25"/>
      <c r="S128" s="25">
        <f>$P128</f>
        <v>2.2799999999999998</v>
      </c>
      <c r="T128" s="25">
        <f t="shared" si="74"/>
        <v>2.2799999999999998</v>
      </c>
      <c r="U128" s="25">
        <f t="shared" si="74"/>
        <v>2.2799999999999998</v>
      </c>
      <c r="V128" s="25">
        <f t="shared" si="74"/>
        <v>2.2799999999999998</v>
      </c>
      <c r="W128" s="25">
        <f t="shared" si="74"/>
        <v>2.2799999999999998</v>
      </c>
      <c r="X128" s="25">
        <f t="shared" si="74"/>
        <v>2.2799999999999998</v>
      </c>
      <c r="Y128" s="25">
        <f t="shared" si="74"/>
        <v>2.2799999999999998</v>
      </c>
      <c r="Z128" s="25"/>
      <c r="AA128" s="25"/>
    </row>
    <row r="130" spans="2:27" s="3" customFormat="1" x14ac:dyDescent="0.3">
      <c r="B130" s="3" t="s">
        <v>66</v>
      </c>
      <c r="E130" s="23"/>
      <c r="F130" s="3" t="s">
        <v>105</v>
      </c>
      <c r="J130" s="3" t="s">
        <v>64</v>
      </c>
      <c r="K130" s="6"/>
      <c r="L130" s="3">
        <f>L121*L$12/L127/30*L125</f>
        <v>1248299.9999999995</v>
      </c>
      <c r="P130" s="3">
        <f>P121*P$12/P127/30*P125</f>
        <v>1248299.9999999995</v>
      </c>
      <c r="R130" s="19"/>
      <c r="S130" s="3">
        <f t="shared" ref="S130:Y130" si="76">S121*S$12/S127/30*S125</f>
        <v>1248299.9999999995</v>
      </c>
      <c r="T130" s="3">
        <f t="shared" si="76"/>
        <v>1290055.9999999993</v>
      </c>
      <c r="U130" s="3">
        <f t="shared" si="76"/>
        <v>1330643.9999999998</v>
      </c>
      <c r="V130" s="3">
        <f t="shared" si="76"/>
        <v>1370063.9999999998</v>
      </c>
      <c r="W130" s="3">
        <f t="shared" si="76"/>
        <v>1408315.9999999998</v>
      </c>
      <c r="X130" s="3">
        <f t="shared" si="76"/>
        <v>1445399.9999999998</v>
      </c>
      <c r="Y130" s="3">
        <f t="shared" si="76"/>
        <v>1481316</v>
      </c>
    </row>
    <row r="131" spans="2:27" s="29" customFormat="1" x14ac:dyDescent="0.3">
      <c r="G131" s="29" t="s">
        <v>107</v>
      </c>
      <c r="J131" s="29" t="s">
        <v>65</v>
      </c>
      <c r="K131" s="16"/>
      <c r="L131" s="29">
        <f>L130/L$11</f>
        <v>3419.9999999999986</v>
      </c>
      <c r="P131" s="29">
        <f>P130/P$11</f>
        <v>3419.9999999999986</v>
      </c>
      <c r="R131" s="30"/>
      <c r="S131" s="29">
        <f t="shared" ref="S131:Y131" si="77">S130/S$11</f>
        <v>3419.9999999999986</v>
      </c>
      <c r="T131" s="29">
        <f t="shared" si="77"/>
        <v>3534.3999999999983</v>
      </c>
      <c r="U131" s="29">
        <f t="shared" si="77"/>
        <v>3645.5999999999995</v>
      </c>
      <c r="V131" s="29">
        <f t="shared" si="77"/>
        <v>3753.5999999999995</v>
      </c>
      <c r="W131" s="29">
        <f t="shared" si="77"/>
        <v>3858.3999999999992</v>
      </c>
      <c r="X131" s="29">
        <f t="shared" si="77"/>
        <v>3959.9999999999995</v>
      </c>
      <c r="Y131" s="29">
        <f t="shared" si="77"/>
        <v>4058.4</v>
      </c>
    </row>
    <row r="132" spans="2:27" s="29" customFormat="1" ht="15" thickBot="1" x14ac:dyDescent="0.35">
      <c r="B132" s="60" t="s">
        <v>71</v>
      </c>
      <c r="C132" s="60"/>
      <c r="D132" s="60"/>
      <c r="E132" s="60"/>
      <c r="F132" s="60"/>
      <c r="G132" s="60" t="s">
        <v>108</v>
      </c>
      <c r="H132" s="60"/>
      <c r="I132" s="60"/>
      <c r="J132" s="60" t="s">
        <v>70</v>
      </c>
      <c r="K132" s="61"/>
      <c r="L132" s="62">
        <f>IF(L$54=0,0,L130/L$54)</f>
        <v>4.6874999999999982</v>
      </c>
      <c r="M132" s="62"/>
      <c r="N132" s="62"/>
      <c r="O132" s="62"/>
      <c r="P132" s="62">
        <f>IF(P$54=0,0,P130/P$54)</f>
        <v>4.6874999999999982</v>
      </c>
      <c r="Q132" s="62"/>
      <c r="R132" s="63"/>
      <c r="S132" s="62">
        <f t="shared" ref="S132:Y132" si="78">IF(S$54=0,0,S130/S$54)</f>
        <v>4.6874999999999982</v>
      </c>
      <c r="T132" s="62">
        <f t="shared" si="78"/>
        <v>4.8958333333333321</v>
      </c>
      <c r="U132" s="62">
        <f t="shared" si="78"/>
        <v>5.1041666666666661</v>
      </c>
      <c r="V132" s="62">
        <f t="shared" si="78"/>
        <v>5.3124999999999991</v>
      </c>
      <c r="W132" s="62">
        <f t="shared" si="78"/>
        <v>5.520833333333333</v>
      </c>
      <c r="X132" s="62">
        <f t="shared" si="78"/>
        <v>5.729166666666667</v>
      </c>
      <c r="Y132" s="62">
        <f t="shared" si="78"/>
        <v>5.9375</v>
      </c>
    </row>
    <row r="133" spans="2:27" ht="15" thickTop="1" x14ac:dyDescent="0.3">
      <c r="B133" s="64"/>
      <c r="C133" s="64"/>
      <c r="D133" s="64"/>
      <c r="E133" s="64"/>
      <c r="F133" s="64"/>
      <c r="G133" s="64"/>
      <c r="H133" s="64"/>
      <c r="I133" s="64"/>
      <c r="J133" s="64"/>
      <c r="K133" s="65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</row>
    <row r="134" spans="2:27" x14ac:dyDescent="0.3">
      <c r="F134" s="2" t="s">
        <v>109</v>
      </c>
      <c r="J134" s="2" t="s">
        <v>8</v>
      </c>
      <c r="K134" s="6" t="s">
        <v>11</v>
      </c>
      <c r="L134" s="7">
        <v>0.3</v>
      </c>
      <c r="M134" s="7"/>
      <c r="N134" s="7">
        <v>0</v>
      </c>
      <c r="O134" s="7"/>
      <c r="P134" s="7">
        <f t="shared" ref="P134" si="79">L134+N134</f>
        <v>0.3</v>
      </c>
      <c r="Q134" s="7"/>
      <c r="R134" s="12"/>
      <c r="S134" s="12">
        <f>$P134</f>
        <v>0.3</v>
      </c>
      <c r="T134" s="12">
        <f t="shared" ref="T134:Y134" si="80">$P134</f>
        <v>0.3</v>
      </c>
      <c r="U134" s="12">
        <f t="shared" si="80"/>
        <v>0.3</v>
      </c>
      <c r="V134" s="12">
        <f t="shared" si="80"/>
        <v>0.3</v>
      </c>
      <c r="W134" s="12">
        <f t="shared" si="80"/>
        <v>0.3</v>
      </c>
      <c r="X134" s="12">
        <f t="shared" si="80"/>
        <v>0.3</v>
      </c>
      <c r="Y134" s="12">
        <f t="shared" si="80"/>
        <v>0.3</v>
      </c>
      <c r="Z134" s="25"/>
      <c r="AA134" s="25"/>
    </row>
    <row r="136" spans="2:27" s="3" customFormat="1" x14ac:dyDescent="0.3">
      <c r="B136" s="3" t="s">
        <v>66</v>
      </c>
      <c r="E136" s="23"/>
      <c r="F136" s="3" t="s">
        <v>110</v>
      </c>
      <c r="J136" s="3" t="s">
        <v>64</v>
      </c>
      <c r="K136" s="6"/>
      <c r="L136" s="3">
        <f>L130*L134</f>
        <v>374489.99999999983</v>
      </c>
      <c r="P136" s="3">
        <f>P130*P134</f>
        <v>374489.99999999983</v>
      </c>
      <c r="R136" s="19"/>
      <c r="S136" s="3">
        <f t="shared" ref="S136:Y136" si="81">S130*S134</f>
        <v>374489.99999999983</v>
      </c>
      <c r="T136" s="3">
        <f t="shared" si="81"/>
        <v>387016.79999999976</v>
      </c>
      <c r="U136" s="3">
        <f t="shared" si="81"/>
        <v>399193.1999999999</v>
      </c>
      <c r="V136" s="3">
        <f t="shared" si="81"/>
        <v>411019.1999999999</v>
      </c>
      <c r="W136" s="3">
        <f t="shared" si="81"/>
        <v>422494.79999999993</v>
      </c>
      <c r="X136" s="3">
        <f t="shared" si="81"/>
        <v>433619.99999999994</v>
      </c>
      <c r="Y136" s="3">
        <f t="shared" si="81"/>
        <v>444394.8</v>
      </c>
    </row>
    <row r="137" spans="2:27" s="29" customFormat="1" x14ac:dyDescent="0.3">
      <c r="G137" s="29" t="s">
        <v>111</v>
      </c>
      <c r="J137" s="29" t="s">
        <v>65</v>
      </c>
      <c r="K137" s="16"/>
      <c r="L137" s="29">
        <f>L131*L134</f>
        <v>1025.9999999999995</v>
      </c>
      <c r="P137" s="29">
        <f>P131*P134</f>
        <v>1025.9999999999995</v>
      </c>
      <c r="R137" s="30"/>
      <c r="S137" s="29">
        <f t="shared" ref="S137:Y137" si="82">S131*S134</f>
        <v>1025.9999999999995</v>
      </c>
      <c r="T137" s="29">
        <f t="shared" si="82"/>
        <v>1060.3199999999995</v>
      </c>
      <c r="U137" s="29">
        <f t="shared" si="82"/>
        <v>1093.6799999999998</v>
      </c>
      <c r="V137" s="29">
        <f t="shared" si="82"/>
        <v>1126.0799999999997</v>
      </c>
      <c r="W137" s="29">
        <f t="shared" si="82"/>
        <v>1157.5199999999998</v>
      </c>
      <c r="X137" s="29">
        <f t="shared" si="82"/>
        <v>1187.9999999999998</v>
      </c>
      <c r="Y137" s="29">
        <f t="shared" si="82"/>
        <v>1217.52</v>
      </c>
    </row>
    <row r="138" spans="2:27" s="29" customFormat="1" ht="15" thickBot="1" x14ac:dyDescent="0.35">
      <c r="B138" s="60" t="s">
        <v>71</v>
      </c>
      <c r="C138" s="60"/>
      <c r="D138" s="60"/>
      <c r="E138" s="60"/>
      <c r="F138" s="60"/>
      <c r="G138" s="60" t="s">
        <v>112</v>
      </c>
      <c r="H138" s="60"/>
      <c r="I138" s="60"/>
      <c r="J138" s="60" t="s">
        <v>70</v>
      </c>
      <c r="K138" s="61"/>
      <c r="L138" s="62">
        <f>IF(L$54=0,0,L136/L$54)</f>
        <v>1.4062499999999993</v>
      </c>
      <c r="M138" s="62"/>
      <c r="N138" s="62"/>
      <c r="O138" s="62"/>
      <c r="P138" s="62">
        <f>IF(P$54=0,0,P136/P$54)</f>
        <v>1.4062499999999993</v>
      </c>
      <c r="Q138" s="62"/>
      <c r="R138" s="63"/>
      <c r="S138" s="62">
        <f t="shared" ref="S138:Y138" si="83">IF(S$54=0,0,S136/S$54)</f>
        <v>1.4062499999999993</v>
      </c>
      <c r="T138" s="62">
        <f t="shared" si="83"/>
        <v>1.4687499999999996</v>
      </c>
      <c r="U138" s="62">
        <f t="shared" si="83"/>
        <v>1.5312499999999996</v>
      </c>
      <c r="V138" s="62">
        <f t="shared" si="83"/>
        <v>1.5937499999999996</v>
      </c>
      <c r="W138" s="62">
        <f t="shared" si="83"/>
        <v>1.65625</v>
      </c>
      <c r="X138" s="62">
        <f t="shared" si="83"/>
        <v>1.7187500000000002</v>
      </c>
      <c r="Y138" s="62">
        <f t="shared" si="83"/>
        <v>1.78125</v>
      </c>
    </row>
    <row r="139" spans="2:27" ht="15" thickTop="1" x14ac:dyDescent="0.3">
      <c r="B139" s="64"/>
      <c r="C139" s="64"/>
      <c r="D139" s="64"/>
      <c r="E139" s="64"/>
      <c r="F139" s="64"/>
      <c r="G139" s="64"/>
      <c r="H139" s="64"/>
      <c r="I139" s="64"/>
      <c r="J139" s="64"/>
      <c r="K139" s="65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</row>
    <row r="140" spans="2:27" s="3" customFormat="1" x14ac:dyDescent="0.3">
      <c r="E140" s="23"/>
      <c r="F140" s="3" t="s">
        <v>113</v>
      </c>
      <c r="K140" s="6"/>
      <c r="R140" s="19"/>
      <c r="S140" s="19"/>
      <c r="T140" s="19"/>
      <c r="U140" s="19"/>
      <c r="V140" s="19"/>
      <c r="W140" s="19"/>
      <c r="X140" s="19"/>
      <c r="Y140" s="19"/>
    </row>
    <row r="141" spans="2:27" x14ac:dyDescent="0.3">
      <c r="F141" s="2" t="str">
        <f>F140</f>
        <v>Расходы на водителей (суточные, связь и т.п.)</v>
      </c>
      <c r="J141" s="2" t="s">
        <v>115</v>
      </c>
      <c r="K141" s="6" t="s">
        <v>11</v>
      </c>
      <c r="L141" s="24">
        <v>700</v>
      </c>
      <c r="M141" s="24"/>
      <c r="N141" s="24">
        <v>0</v>
      </c>
      <c r="O141" s="24"/>
      <c r="P141" s="24">
        <f t="shared" ref="P141" si="84">L141+N141</f>
        <v>700</v>
      </c>
      <c r="Q141" s="24"/>
      <c r="R141" s="25"/>
      <c r="S141" s="25">
        <f t="shared" ref="S141" si="85">$P141</f>
        <v>700</v>
      </c>
      <c r="T141" s="25">
        <f>$P141+$P142*(T$5-1)</f>
        <v>750</v>
      </c>
      <c r="U141" s="25">
        <f t="shared" ref="U141:Y141" si="86">$P141+$P142*(U$5-1)</f>
        <v>800</v>
      </c>
      <c r="V141" s="25">
        <f t="shared" si="86"/>
        <v>850</v>
      </c>
      <c r="W141" s="25">
        <f t="shared" si="86"/>
        <v>900</v>
      </c>
      <c r="X141" s="25">
        <f t="shared" si="86"/>
        <v>950</v>
      </c>
      <c r="Y141" s="25">
        <f t="shared" si="86"/>
        <v>1000</v>
      </c>
      <c r="Z141" s="25"/>
      <c r="AA141" s="25"/>
    </row>
    <row r="142" spans="2:27" s="8" customFormat="1" x14ac:dyDescent="0.3">
      <c r="G142" s="8" t="s">
        <v>114</v>
      </c>
      <c r="J142" s="2" t="s">
        <v>115</v>
      </c>
      <c r="K142" s="9" t="s">
        <v>11</v>
      </c>
      <c r="L142" s="26">
        <v>50</v>
      </c>
      <c r="M142" s="26"/>
      <c r="N142" s="26">
        <v>0</v>
      </c>
      <c r="O142" s="26"/>
      <c r="P142" s="26">
        <f>L142+N142</f>
        <v>50</v>
      </c>
      <c r="Q142" s="26"/>
      <c r="R142" s="27"/>
      <c r="S142" s="27"/>
      <c r="T142" s="27"/>
      <c r="U142" s="27"/>
      <c r="V142" s="27"/>
      <c r="W142" s="27"/>
      <c r="X142" s="27"/>
      <c r="Y142" s="27"/>
    </row>
    <row r="144" spans="2:27" s="3" customFormat="1" x14ac:dyDescent="0.3">
      <c r="B144" s="3" t="s">
        <v>66</v>
      </c>
      <c r="E144" s="23"/>
      <c r="F144" s="3" t="s">
        <v>116</v>
      </c>
      <c r="J144" s="3" t="s">
        <v>64</v>
      </c>
      <c r="K144" s="6"/>
      <c r="L144" s="3">
        <f>L141*L121*L$12/L127</f>
        <v>582539.99999999977</v>
      </c>
      <c r="P144" s="3">
        <f>P141*P121*P$12/P127</f>
        <v>582539.99999999977</v>
      </c>
      <c r="R144" s="19"/>
      <c r="S144" s="3">
        <f t="shared" ref="S144:Y144" si="87">S141*S121*S$12/S127</f>
        <v>582539.99999999977</v>
      </c>
      <c r="T144" s="3">
        <f t="shared" si="87"/>
        <v>617579.99999999977</v>
      </c>
      <c r="U144" s="3">
        <f t="shared" si="87"/>
        <v>651743.99999999977</v>
      </c>
      <c r="V144" s="3">
        <f t="shared" si="87"/>
        <v>685031.99999999977</v>
      </c>
      <c r="W144" s="3">
        <f t="shared" si="87"/>
        <v>717443.99999999977</v>
      </c>
      <c r="X144" s="3">
        <f t="shared" si="87"/>
        <v>748979.99999999977</v>
      </c>
      <c r="Y144" s="3">
        <f t="shared" si="87"/>
        <v>779639.99999999977</v>
      </c>
    </row>
    <row r="145" spans="2:27" s="29" customFormat="1" x14ac:dyDescent="0.3">
      <c r="G145" s="29" t="s">
        <v>117</v>
      </c>
      <c r="J145" s="29" t="s">
        <v>65</v>
      </c>
      <c r="K145" s="16"/>
      <c r="L145" s="29">
        <f>L141*L122/L127</f>
        <v>1595.9999999999998</v>
      </c>
      <c r="P145" s="29">
        <f>P141*P122/P127</f>
        <v>1595.9999999999998</v>
      </c>
      <c r="R145" s="30"/>
      <c r="S145" s="29">
        <f t="shared" ref="S145:Y145" si="88">S141*S122/S127</f>
        <v>1595.9999999999998</v>
      </c>
      <c r="T145" s="29">
        <f t="shared" si="88"/>
        <v>1691.9999999999995</v>
      </c>
      <c r="U145" s="29">
        <f t="shared" si="88"/>
        <v>1785.5999999999997</v>
      </c>
      <c r="V145" s="29">
        <f t="shared" si="88"/>
        <v>1876.7999999999993</v>
      </c>
      <c r="W145" s="29">
        <f t="shared" si="88"/>
        <v>1965.5999999999992</v>
      </c>
      <c r="X145" s="29">
        <f t="shared" si="88"/>
        <v>2051.9999999999991</v>
      </c>
      <c r="Y145" s="29">
        <f t="shared" si="88"/>
        <v>2136</v>
      </c>
    </row>
    <row r="146" spans="2:27" s="29" customFormat="1" ht="15" thickBot="1" x14ac:dyDescent="0.35">
      <c r="B146" s="60" t="s">
        <v>71</v>
      </c>
      <c r="C146" s="60"/>
      <c r="D146" s="60"/>
      <c r="E146" s="60"/>
      <c r="F146" s="60"/>
      <c r="G146" s="60" t="s">
        <v>118</v>
      </c>
      <c r="H146" s="60"/>
      <c r="I146" s="60"/>
      <c r="J146" s="60" t="s">
        <v>70</v>
      </c>
      <c r="K146" s="61"/>
      <c r="L146" s="62">
        <f>IF(L$54=0,0,L144/L$54)</f>
        <v>2.1874999999999991</v>
      </c>
      <c r="M146" s="62"/>
      <c r="N146" s="62"/>
      <c r="O146" s="62"/>
      <c r="P146" s="62">
        <f>IF(P$54=0,0,P144/P$54)</f>
        <v>2.1874999999999991</v>
      </c>
      <c r="Q146" s="62"/>
      <c r="R146" s="63"/>
      <c r="S146" s="62">
        <f t="shared" ref="S146:Y146" si="89">IF(S$54=0,0,S144/S$54)</f>
        <v>2.1874999999999991</v>
      </c>
      <c r="T146" s="62">
        <f t="shared" si="89"/>
        <v>2.3437499999999996</v>
      </c>
      <c r="U146" s="62">
        <f t="shared" si="89"/>
        <v>2.4999999999999991</v>
      </c>
      <c r="V146" s="62">
        <f t="shared" si="89"/>
        <v>2.6562499999999991</v>
      </c>
      <c r="W146" s="62">
        <f t="shared" si="89"/>
        <v>2.8124999999999996</v>
      </c>
      <c r="X146" s="62">
        <f t="shared" si="89"/>
        <v>2.9687499999999996</v>
      </c>
      <c r="Y146" s="62">
        <f t="shared" si="89"/>
        <v>3.1249999999999991</v>
      </c>
    </row>
    <row r="147" spans="2:27" ht="15" thickTop="1" x14ac:dyDescent="0.3">
      <c r="B147" s="64"/>
      <c r="C147" s="64"/>
      <c r="D147" s="64"/>
      <c r="E147" s="64"/>
      <c r="F147" s="64"/>
      <c r="G147" s="64"/>
      <c r="H147" s="64"/>
      <c r="I147" s="64"/>
      <c r="J147" s="64"/>
      <c r="K147" s="65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</row>
    <row r="148" spans="2:27" s="3" customFormat="1" x14ac:dyDescent="0.3">
      <c r="E148" s="23"/>
      <c r="F148" s="3" t="s">
        <v>138</v>
      </c>
      <c r="K148" s="6"/>
      <c r="R148" s="19"/>
      <c r="S148" s="19"/>
      <c r="T148" s="19"/>
      <c r="U148" s="19"/>
      <c r="V148" s="19"/>
      <c r="W148" s="19"/>
      <c r="X148" s="19"/>
      <c r="Y148" s="19"/>
    </row>
    <row r="149" spans="2:27" s="35" customFormat="1" ht="13.8" x14ac:dyDescent="0.3">
      <c r="F149" s="35" t="s">
        <v>127</v>
      </c>
      <c r="J149" s="35" t="s">
        <v>115</v>
      </c>
      <c r="K149" s="36" t="s">
        <v>11</v>
      </c>
      <c r="L149" s="37">
        <v>10000</v>
      </c>
      <c r="M149" s="37"/>
      <c r="N149" s="37">
        <v>0</v>
      </c>
      <c r="O149" s="37"/>
      <c r="P149" s="37">
        <f t="shared" ref="P149:P158" si="90">L149+N149</f>
        <v>10000</v>
      </c>
      <c r="Q149" s="37"/>
      <c r="R149" s="38"/>
      <c r="S149" s="38">
        <f t="shared" ref="S149:S164" si="91">$P149</f>
        <v>10000</v>
      </c>
      <c r="T149" s="38">
        <f t="shared" ref="T149:Y149" si="92">$P149*(1+$P$166)^(T$5-1)</f>
        <v>10400</v>
      </c>
      <c r="U149" s="38">
        <f t="shared" si="92"/>
        <v>10816.000000000002</v>
      </c>
      <c r="V149" s="38">
        <f t="shared" si="92"/>
        <v>11248.640000000001</v>
      </c>
      <c r="W149" s="38">
        <f t="shared" si="92"/>
        <v>11698.585600000002</v>
      </c>
      <c r="X149" s="38">
        <f t="shared" si="92"/>
        <v>12166.529024000003</v>
      </c>
      <c r="Y149" s="38">
        <f t="shared" si="92"/>
        <v>12653.190184960004</v>
      </c>
      <c r="Z149" s="38"/>
      <c r="AA149" s="38"/>
    </row>
    <row r="150" spans="2:27" s="35" customFormat="1" ht="13.8" x14ac:dyDescent="0.3">
      <c r="F150" s="35" t="s">
        <v>128</v>
      </c>
      <c r="J150" s="35" t="s">
        <v>115</v>
      </c>
      <c r="K150" s="36" t="s">
        <v>11</v>
      </c>
      <c r="L150" s="37">
        <v>10000</v>
      </c>
      <c r="M150" s="37"/>
      <c r="N150" s="37">
        <v>0</v>
      </c>
      <c r="O150" s="37"/>
      <c r="P150" s="37">
        <f t="shared" si="90"/>
        <v>10000</v>
      </c>
      <c r="Q150" s="37"/>
      <c r="R150" s="38"/>
      <c r="S150" s="38">
        <f t="shared" si="91"/>
        <v>10000</v>
      </c>
      <c r="T150" s="38">
        <f>$P150*(1+$P$166)^(T$5-1)</f>
        <v>10400</v>
      </c>
      <c r="U150" s="38">
        <f>$P150*(1+$P$166)^(U$5-1)</f>
        <v>10816.000000000002</v>
      </c>
      <c r="V150" s="38">
        <f>$P150*(1+$P$166)^(V$5-1)</f>
        <v>11248.640000000001</v>
      </c>
      <c r="W150" s="38">
        <f>$P150*(1+$P$166)^(W$5-1)</f>
        <v>11698.585600000002</v>
      </c>
      <c r="X150" s="38">
        <f>$P150*(1+$P$166)^(X$5-1)</f>
        <v>12166.529024000003</v>
      </c>
      <c r="Y150" s="38">
        <f>$P150*(1+$P$166)^(Y$5-1)</f>
        <v>12653.190184960004</v>
      </c>
      <c r="Z150" s="38"/>
      <c r="AA150" s="38"/>
    </row>
    <row r="151" spans="2:27" s="35" customFormat="1" ht="13.8" x14ac:dyDescent="0.3">
      <c r="F151" s="35" t="s">
        <v>129</v>
      </c>
      <c r="J151" s="35" t="s">
        <v>115</v>
      </c>
      <c r="K151" s="36" t="s">
        <v>11</v>
      </c>
      <c r="L151" s="37">
        <v>10000</v>
      </c>
      <c r="M151" s="37"/>
      <c r="N151" s="37">
        <v>0</v>
      </c>
      <c r="O151" s="37"/>
      <c r="P151" s="37">
        <f t="shared" si="90"/>
        <v>10000</v>
      </c>
      <c r="Q151" s="37"/>
      <c r="R151" s="38"/>
      <c r="S151" s="38">
        <f t="shared" si="91"/>
        <v>10000</v>
      </c>
      <c r="T151" s="38">
        <f>$P151*(1+$P$166)^(T$5-1)</f>
        <v>10400</v>
      </c>
      <c r="U151" s="38">
        <f>$P151*(1+$P$166)^(U$5-1)</f>
        <v>10816.000000000002</v>
      </c>
      <c r="V151" s="38">
        <f>$P151*(1+$P$166)^(V$5-1)</f>
        <v>11248.640000000001</v>
      </c>
      <c r="W151" s="38">
        <f>$P151*(1+$P$166)^(W$5-1)</f>
        <v>11698.585600000002</v>
      </c>
      <c r="X151" s="38">
        <f>$P151*(1+$P$166)^(X$5-1)</f>
        <v>12166.529024000003</v>
      </c>
      <c r="Y151" s="38">
        <f>$P151*(1+$P$166)^(Y$5-1)</f>
        <v>12653.190184960004</v>
      </c>
      <c r="Z151" s="38"/>
      <c r="AA151" s="38"/>
    </row>
    <row r="152" spans="2:27" s="35" customFormat="1" ht="13.8" x14ac:dyDescent="0.3">
      <c r="F152" s="35" t="s">
        <v>130</v>
      </c>
      <c r="J152" s="35" t="s">
        <v>115</v>
      </c>
      <c r="K152" s="36" t="s">
        <v>11</v>
      </c>
      <c r="L152" s="37">
        <v>10000</v>
      </c>
      <c r="M152" s="37"/>
      <c r="N152" s="37">
        <v>0</v>
      </c>
      <c r="O152" s="37"/>
      <c r="P152" s="37">
        <f t="shared" si="90"/>
        <v>10000</v>
      </c>
      <c r="Q152" s="37"/>
      <c r="R152" s="38"/>
      <c r="S152" s="38">
        <f t="shared" si="91"/>
        <v>10000</v>
      </c>
      <c r="T152" s="38">
        <f>$P152*(1+$P$166)^(T$5-1)</f>
        <v>10400</v>
      </c>
      <c r="U152" s="38">
        <f>$P152*(1+$P$166)^(U$5-1)</f>
        <v>10816.000000000002</v>
      </c>
      <c r="V152" s="38">
        <f>$P152*(1+$P$166)^(V$5-1)</f>
        <v>11248.640000000001</v>
      </c>
      <c r="W152" s="38">
        <f>$P152*(1+$P$166)^(W$5-1)</f>
        <v>11698.585600000002</v>
      </c>
      <c r="X152" s="38">
        <f>$P152*(1+$P$166)^(X$5-1)</f>
        <v>12166.529024000003</v>
      </c>
      <c r="Y152" s="38">
        <f>$P152*(1+$P$166)^(Y$5-1)</f>
        <v>12653.190184960004</v>
      </c>
      <c r="Z152" s="38"/>
      <c r="AA152" s="38"/>
    </row>
    <row r="153" spans="2:27" s="35" customFormat="1" ht="13.8" x14ac:dyDescent="0.3">
      <c r="F153" s="35" t="s">
        <v>131</v>
      </c>
      <c r="J153" s="35" t="s">
        <v>115</v>
      </c>
      <c r="K153" s="36" t="s">
        <v>11</v>
      </c>
      <c r="L153" s="37">
        <v>10000</v>
      </c>
      <c r="M153" s="37"/>
      <c r="N153" s="37">
        <v>0</v>
      </c>
      <c r="O153" s="37"/>
      <c r="P153" s="37">
        <f t="shared" si="90"/>
        <v>10000</v>
      </c>
      <c r="Q153" s="37"/>
      <c r="R153" s="38"/>
      <c r="S153" s="38">
        <f t="shared" si="91"/>
        <v>10000</v>
      </c>
      <c r="T153" s="38">
        <f>$P153*(1+$P$166)^(T$5-1)</f>
        <v>10400</v>
      </c>
      <c r="U153" s="38">
        <f>$P153*(1+$P$166)^(U$5-1)</f>
        <v>10816.000000000002</v>
      </c>
      <c r="V153" s="38">
        <f>$P153*(1+$P$166)^(V$5-1)</f>
        <v>11248.640000000001</v>
      </c>
      <c r="W153" s="38">
        <f>$P153*(1+$P$166)^(W$5-1)</f>
        <v>11698.585600000002</v>
      </c>
      <c r="X153" s="38">
        <f>$P153*(1+$P$166)^(X$5-1)</f>
        <v>12166.529024000003</v>
      </c>
      <c r="Y153" s="38">
        <f>$P153*(1+$P$166)^(Y$5-1)</f>
        <v>12653.190184960004</v>
      </c>
      <c r="Z153" s="38"/>
      <c r="AA153" s="38"/>
    </row>
    <row r="154" spans="2:27" s="35" customFormat="1" ht="13.8" x14ac:dyDescent="0.3">
      <c r="F154" s="35" t="s">
        <v>132</v>
      </c>
      <c r="J154" s="35" t="s">
        <v>115</v>
      </c>
      <c r="K154" s="36" t="s">
        <v>11</v>
      </c>
      <c r="L154" s="37">
        <v>200000</v>
      </c>
      <c r="M154" s="37"/>
      <c r="N154" s="37">
        <v>0</v>
      </c>
      <c r="O154" s="37"/>
      <c r="P154" s="37">
        <f t="shared" si="90"/>
        <v>200000</v>
      </c>
      <c r="Q154" s="37"/>
      <c r="R154" s="38"/>
      <c r="S154" s="38">
        <f t="shared" si="91"/>
        <v>200000</v>
      </c>
      <c r="T154" s="38">
        <f>$P154*(1+$P$166)^(T$5-1)</f>
        <v>208000</v>
      </c>
      <c r="U154" s="38">
        <f>$P154*(1+$P$166)^(U$5-1)</f>
        <v>216320.00000000003</v>
      </c>
      <c r="V154" s="38">
        <f>$P154*(1+$P$166)^(V$5-1)</f>
        <v>224972.80000000002</v>
      </c>
      <c r="W154" s="38">
        <f>$P154*(1+$P$166)^(W$5-1)</f>
        <v>233971.71200000003</v>
      </c>
      <c r="X154" s="38">
        <f>$P154*(1+$P$166)^(X$5-1)</f>
        <v>243330.58048000006</v>
      </c>
      <c r="Y154" s="38">
        <f>$P154*(1+$P$166)^(Y$5-1)</f>
        <v>253063.80369920007</v>
      </c>
      <c r="Z154" s="38"/>
      <c r="AA154" s="38"/>
    </row>
    <row r="155" spans="2:27" s="35" customFormat="1" ht="13.8" x14ac:dyDescent="0.3">
      <c r="F155" s="35" t="s">
        <v>133</v>
      </c>
      <c r="J155" s="35" t="s">
        <v>115</v>
      </c>
      <c r="K155" s="36" t="s">
        <v>11</v>
      </c>
      <c r="L155" s="37">
        <v>50000</v>
      </c>
      <c r="M155" s="37"/>
      <c r="N155" s="37">
        <v>0</v>
      </c>
      <c r="O155" s="37"/>
      <c r="P155" s="37">
        <f t="shared" si="90"/>
        <v>50000</v>
      </c>
      <c r="Q155" s="37"/>
      <c r="R155" s="38"/>
      <c r="S155" s="38">
        <f t="shared" si="91"/>
        <v>50000</v>
      </c>
      <c r="T155" s="38">
        <f>$P155*(1+$P$166)^(T$5-1)</f>
        <v>52000</v>
      </c>
      <c r="U155" s="38">
        <f>$P155*(1+$P$166)^(U$5-1)</f>
        <v>54080.000000000007</v>
      </c>
      <c r="V155" s="38">
        <f>$P155*(1+$P$166)^(V$5-1)</f>
        <v>56243.200000000004</v>
      </c>
      <c r="W155" s="38">
        <f>$P155*(1+$P$166)^(W$5-1)</f>
        <v>58492.928000000007</v>
      </c>
      <c r="X155" s="38">
        <f>$P155*(1+$P$166)^(X$5-1)</f>
        <v>60832.645120000016</v>
      </c>
      <c r="Y155" s="38">
        <f>$P155*(1+$P$166)^(Y$5-1)</f>
        <v>63265.950924800018</v>
      </c>
      <c r="Z155" s="38"/>
      <c r="AA155" s="38"/>
    </row>
    <row r="156" spans="2:27" s="35" customFormat="1" ht="13.8" x14ac:dyDescent="0.3">
      <c r="F156" s="35" t="s">
        <v>134</v>
      </c>
      <c r="J156" s="35" t="s">
        <v>115</v>
      </c>
      <c r="K156" s="36" t="s">
        <v>11</v>
      </c>
      <c r="L156" s="37">
        <v>10000</v>
      </c>
      <c r="M156" s="37"/>
      <c r="N156" s="37">
        <v>0</v>
      </c>
      <c r="O156" s="37"/>
      <c r="P156" s="37">
        <f t="shared" si="90"/>
        <v>10000</v>
      </c>
      <c r="Q156" s="37"/>
      <c r="R156" s="38"/>
      <c r="S156" s="38">
        <f t="shared" si="91"/>
        <v>10000</v>
      </c>
      <c r="T156" s="38">
        <f>$P156*(1+$P$166)^(T$5-1)</f>
        <v>10400</v>
      </c>
      <c r="U156" s="38">
        <f>$P156*(1+$P$166)^(U$5-1)</f>
        <v>10816.000000000002</v>
      </c>
      <c r="V156" s="38">
        <f>$P156*(1+$P$166)^(V$5-1)</f>
        <v>11248.640000000001</v>
      </c>
      <c r="W156" s="38">
        <f>$P156*(1+$P$166)^(W$5-1)</f>
        <v>11698.585600000002</v>
      </c>
      <c r="X156" s="38">
        <f>$P156*(1+$P$166)^(X$5-1)</f>
        <v>12166.529024000003</v>
      </c>
      <c r="Y156" s="38">
        <f>$P156*(1+$P$166)^(Y$5-1)</f>
        <v>12653.190184960004</v>
      </c>
      <c r="Z156" s="38"/>
      <c r="AA156" s="38"/>
    </row>
    <row r="157" spans="2:27" s="35" customFormat="1" ht="13.8" x14ac:dyDescent="0.3">
      <c r="F157" s="35" t="s">
        <v>135</v>
      </c>
      <c r="J157" s="35" t="s">
        <v>115</v>
      </c>
      <c r="K157" s="36" t="s">
        <v>11</v>
      </c>
      <c r="L157" s="37">
        <v>10000</v>
      </c>
      <c r="M157" s="37"/>
      <c r="N157" s="37">
        <v>0</v>
      </c>
      <c r="O157" s="37"/>
      <c r="P157" s="37">
        <f t="shared" si="90"/>
        <v>10000</v>
      </c>
      <c r="Q157" s="37"/>
      <c r="R157" s="38"/>
      <c r="S157" s="38">
        <f t="shared" si="91"/>
        <v>10000</v>
      </c>
      <c r="T157" s="38">
        <f>$P157*(1+$P$166)^(T$5-1)</f>
        <v>10400</v>
      </c>
      <c r="U157" s="38">
        <f>$P157*(1+$P$166)^(U$5-1)</f>
        <v>10816.000000000002</v>
      </c>
      <c r="V157" s="38">
        <f>$P157*(1+$P$166)^(V$5-1)</f>
        <v>11248.640000000001</v>
      </c>
      <c r="W157" s="38">
        <f>$P157*(1+$P$166)^(W$5-1)</f>
        <v>11698.585600000002</v>
      </c>
      <c r="X157" s="38">
        <f>$P157*(1+$P$166)^(X$5-1)</f>
        <v>12166.529024000003</v>
      </c>
      <c r="Y157" s="38">
        <f>$P157*(1+$P$166)^(Y$5-1)</f>
        <v>12653.190184960004</v>
      </c>
      <c r="Z157" s="38"/>
      <c r="AA157" s="38"/>
    </row>
    <row r="158" spans="2:27" s="35" customFormat="1" ht="13.8" x14ac:dyDescent="0.3">
      <c r="F158" s="35" t="s">
        <v>136</v>
      </c>
      <c r="J158" s="35" t="s">
        <v>115</v>
      </c>
      <c r="K158" s="36" t="s">
        <v>11</v>
      </c>
      <c r="L158" s="37">
        <v>300000</v>
      </c>
      <c r="M158" s="37"/>
      <c r="N158" s="37">
        <v>0</v>
      </c>
      <c r="O158" s="37"/>
      <c r="P158" s="37">
        <f t="shared" si="90"/>
        <v>300000</v>
      </c>
      <c r="Q158" s="37"/>
      <c r="R158" s="38"/>
      <c r="S158" s="38">
        <f t="shared" si="91"/>
        <v>300000</v>
      </c>
      <c r="T158" s="38">
        <f>$P158*(1+$P$166)^(T$5-1)</f>
        <v>312000</v>
      </c>
      <c r="U158" s="38">
        <f>$P158*(1+$P$166)^(U$5-1)</f>
        <v>324480.00000000006</v>
      </c>
      <c r="V158" s="38">
        <f>$P158*(1+$P$166)^(V$5-1)</f>
        <v>337459.20000000001</v>
      </c>
      <c r="W158" s="38">
        <f>$P158*(1+$P$166)^(W$5-1)</f>
        <v>350957.56800000009</v>
      </c>
      <c r="X158" s="38">
        <f>$P158*(1+$P$166)^(X$5-1)</f>
        <v>364995.87072000012</v>
      </c>
      <c r="Y158" s="38">
        <f>$P158*(1+$P$166)^(Y$5-1)</f>
        <v>379595.70554880012</v>
      </c>
      <c r="Z158" s="38"/>
      <c r="AA158" s="38"/>
    </row>
    <row r="159" spans="2:27" s="35" customFormat="1" ht="13.8" x14ac:dyDescent="0.3">
      <c r="F159" s="35" t="s">
        <v>139</v>
      </c>
      <c r="J159" s="35" t="s">
        <v>115</v>
      </c>
      <c r="K159" s="36" t="s">
        <v>11</v>
      </c>
      <c r="L159" s="37">
        <v>10000</v>
      </c>
      <c r="M159" s="37"/>
      <c r="N159" s="37">
        <v>0</v>
      </c>
      <c r="O159" s="37"/>
      <c r="P159" s="37">
        <f t="shared" ref="P159:P166" si="93">L159+N159</f>
        <v>10000</v>
      </c>
      <c r="Q159" s="37"/>
      <c r="R159" s="38"/>
      <c r="S159" s="38">
        <f t="shared" si="91"/>
        <v>10000</v>
      </c>
      <c r="T159" s="38">
        <f>$P159*(1+$P$166)^(T$5-1)</f>
        <v>10400</v>
      </c>
      <c r="U159" s="38">
        <f>$P159*(1+$P$166)^(U$5-1)</f>
        <v>10816.000000000002</v>
      </c>
      <c r="V159" s="38">
        <f>$P159*(1+$P$166)^(V$5-1)</f>
        <v>11248.640000000001</v>
      </c>
      <c r="W159" s="38">
        <f>$P159*(1+$P$166)^(W$5-1)</f>
        <v>11698.585600000002</v>
      </c>
      <c r="X159" s="38">
        <f>$P159*(1+$P$166)^(X$5-1)</f>
        <v>12166.529024000003</v>
      </c>
      <c r="Y159" s="38">
        <f>$P159*(1+$P$166)^(Y$5-1)</f>
        <v>12653.190184960004</v>
      </c>
      <c r="Z159" s="38"/>
      <c r="AA159" s="38"/>
    </row>
    <row r="160" spans="2:27" s="35" customFormat="1" ht="13.8" x14ac:dyDescent="0.3">
      <c r="F160" s="35" t="s">
        <v>140</v>
      </c>
      <c r="J160" s="35" t="s">
        <v>115</v>
      </c>
      <c r="K160" s="36" t="s">
        <v>11</v>
      </c>
      <c r="L160" s="37">
        <v>10000</v>
      </c>
      <c r="M160" s="37"/>
      <c r="N160" s="37">
        <v>0</v>
      </c>
      <c r="O160" s="37"/>
      <c r="P160" s="37">
        <f t="shared" si="93"/>
        <v>10000</v>
      </c>
      <c r="Q160" s="37"/>
      <c r="R160" s="38"/>
      <c r="S160" s="38">
        <f t="shared" si="91"/>
        <v>10000</v>
      </c>
      <c r="T160" s="38">
        <f>$P160*(1+$P$166)^(T$5-1)</f>
        <v>10400</v>
      </c>
      <c r="U160" s="38">
        <f>$P160*(1+$P$166)^(U$5-1)</f>
        <v>10816.000000000002</v>
      </c>
      <c r="V160" s="38">
        <f>$P160*(1+$P$166)^(V$5-1)</f>
        <v>11248.640000000001</v>
      </c>
      <c r="W160" s="38">
        <f>$P160*(1+$P$166)^(W$5-1)</f>
        <v>11698.585600000002</v>
      </c>
      <c r="X160" s="38">
        <f>$P160*(1+$P$166)^(X$5-1)</f>
        <v>12166.529024000003</v>
      </c>
      <c r="Y160" s="38">
        <f>$P160*(1+$P$166)^(Y$5-1)</f>
        <v>12653.190184960004</v>
      </c>
      <c r="Z160" s="38"/>
      <c r="AA160" s="38"/>
    </row>
    <row r="161" spans="2:27" s="35" customFormat="1" ht="13.8" x14ac:dyDescent="0.3">
      <c r="F161" s="35" t="s">
        <v>141</v>
      </c>
      <c r="J161" s="35" t="s">
        <v>115</v>
      </c>
      <c r="K161" s="36" t="s">
        <v>11</v>
      </c>
      <c r="L161" s="37">
        <v>10000</v>
      </c>
      <c r="M161" s="37"/>
      <c r="N161" s="37">
        <v>0</v>
      </c>
      <c r="O161" s="37"/>
      <c r="P161" s="37">
        <f t="shared" si="93"/>
        <v>10000</v>
      </c>
      <c r="Q161" s="37"/>
      <c r="R161" s="38"/>
      <c r="S161" s="38">
        <f t="shared" si="91"/>
        <v>10000</v>
      </c>
      <c r="T161" s="38">
        <f>$P161*(1+$P$166)^(T$5-1)</f>
        <v>10400</v>
      </c>
      <c r="U161" s="38">
        <f>$P161*(1+$P$166)^(U$5-1)</f>
        <v>10816.000000000002</v>
      </c>
      <c r="V161" s="38">
        <f>$P161*(1+$P$166)^(V$5-1)</f>
        <v>11248.640000000001</v>
      </c>
      <c r="W161" s="38">
        <f>$P161*(1+$P$166)^(W$5-1)</f>
        <v>11698.585600000002</v>
      </c>
      <c r="X161" s="38">
        <f>$P161*(1+$P$166)^(X$5-1)</f>
        <v>12166.529024000003</v>
      </c>
      <c r="Y161" s="38">
        <f>$P161*(1+$P$166)^(Y$5-1)</f>
        <v>12653.190184960004</v>
      </c>
      <c r="Z161" s="38"/>
      <c r="AA161" s="38"/>
    </row>
    <row r="162" spans="2:27" s="35" customFormat="1" ht="13.8" x14ac:dyDescent="0.3">
      <c r="F162" s="35" t="s">
        <v>142</v>
      </c>
      <c r="J162" s="35" t="s">
        <v>115</v>
      </c>
      <c r="K162" s="36" t="s">
        <v>11</v>
      </c>
      <c r="L162" s="37">
        <v>10000</v>
      </c>
      <c r="M162" s="37"/>
      <c r="N162" s="37">
        <v>0</v>
      </c>
      <c r="O162" s="37"/>
      <c r="P162" s="37">
        <f t="shared" si="93"/>
        <v>10000</v>
      </c>
      <c r="Q162" s="37"/>
      <c r="R162" s="38"/>
      <c r="S162" s="38">
        <f t="shared" si="91"/>
        <v>10000</v>
      </c>
      <c r="T162" s="38">
        <f>$P162*(1+$P$166)^(T$5-1)</f>
        <v>10400</v>
      </c>
      <c r="U162" s="38">
        <f>$P162*(1+$P$166)^(U$5-1)</f>
        <v>10816.000000000002</v>
      </c>
      <c r="V162" s="38">
        <f>$P162*(1+$P$166)^(V$5-1)</f>
        <v>11248.640000000001</v>
      </c>
      <c r="W162" s="38">
        <f>$P162*(1+$P$166)^(W$5-1)</f>
        <v>11698.585600000002</v>
      </c>
      <c r="X162" s="38">
        <f>$P162*(1+$P$166)^(X$5-1)</f>
        <v>12166.529024000003</v>
      </c>
      <c r="Y162" s="38">
        <f>$P162*(1+$P$166)^(Y$5-1)</f>
        <v>12653.190184960004</v>
      </c>
      <c r="Z162" s="38"/>
      <c r="AA162" s="38"/>
    </row>
    <row r="163" spans="2:27" s="35" customFormat="1" ht="13.8" x14ac:dyDescent="0.3">
      <c r="F163" s="35" t="s">
        <v>143</v>
      </c>
      <c r="J163" s="35" t="s">
        <v>115</v>
      </c>
      <c r="K163" s="36" t="s">
        <v>11</v>
      </c>
      <c r="L163" s="37">
        <v>10000</v>
      </c>
      <c r="M163" s="37"/>
      <c r="N163" s="37">
        <v>0</v>
      </c>
      <c r="O163" s="37"/>
      <c r="P163" s="37">
        <f t="shared" si="93"/>
        <v>10000</v>
      </c>
      <c r="Q163" s="37"/>
      <c r="R163" s="38"/>
      <c r="S163" s="38">
        <f t="shared" si="91"/>
        <v>10000</v>
      </c>
      <c r="T163" s="38">
        <f>$P163*(1+$P$166)^(T$5-1)</f>
        <v>10400</v>
      </c>
      <c r="U163" s="38">
        <f>$P163*(1+$P$166)^(U$5-1)</f>
        <v>10816.000000000002</v>
      </c>
      <c r="V163" s="38">
        <f>$P163*(1+$P$166)^(V$5-1)</f>
        <v>11248.640000000001</v>
      </c>
      <c r="W163" s="38">
        <f>$P163*(1+$P$166)^(W$5-1)</f>
        <v>11698.585600000002</v>
      </c>
      <c r="X163" s="38">
        <f>$P163*(1+$P$166)^(X$5-1)</f>
        <v>12166.529024000003</v>
      </c>
      <c r="Y163" s="38">
        <f>$P163*(1+$P$166)^(Y$5-1)</f>
        <v>12653.190184960004</v>
      </c>
      <c r="Z163" s="38"/>
      <c r="AA163" s="38"/>
    </row>
    <row r="164" spans="2:27" s="35" customFormat="1" ht="13.8" x14ac:dyDescent="0.3">
      <c r="F164" s="35" t="s">
        <v>161</v>
      </c>
      <c r="J164" s="35" t="s">
        <v>115</v>
      </c>
      <c r="K164" s="36" t="s">
        <v>11</v>
      </c>
      <c r="L164" s="37">
        <v>10000</v>
      </c>
      <c r="M164" s="37"/>
      <c r="N164" s="37">
        <v>0</v>
      </c>
      <c r="O164" s="37"/>
      <c r="P164" s="37">
        <f t="shared" ref="P164" si="94">L164+N164</f>
        <v>10000</v>
      </c>
      <c r="Q164" s="37"/>
      <c r="R164" s="38"/>
      <c r="S164" s="38">
        <f t="shared" si="91"/>
        <v>10000</v>
      </c>
      <c r="T164" s="38">
        <f>$P164*(1+$P$166)^(T$5-1)</f>
        <v>10400</v>
      </c>
      <c r="U164" s="38">
        <f>$P164*(1+$P$166)^(U$5-1)</f>
        <v>10816.000000000002</v>
      </c>
      <c r="V164" s="38">
        <f>$P164*(1+$P$166)^(V$5-1)</f>
        <v>11248.640000000001</v>
      </c>
      <c r="W164" s="38">
        <f>$P164*(1+$P$166)^(W$5-1)</f>
        <v>11698.585600000002</v>
      </c>
      <c r="X164" s="38">
        <f>$P164*(1+$P$166)^(X$5-1)</f>
        <v>12166.529024000003</v>
      </c>
      <c r="Y164" s="38">
        <f>$P164*(1+$P$166)^(Y$5-1)</f>
        <v>12653.190184960004</v>
      </c>
      <c r="Z164" s="38"/>
      <c r="AA164" s="38"/>
    </row>
    <row r="165" spans="2:27" s="35" customFormat="1" ht="4.95" customHeight="1" x14ac:dyDescent="0.3">
      <c r="K165" s="36"/>
    </row>
    <row r="166" spans="2:27" s="39" customFormat="1" ht="13.8" x14ac:dyDescent="0.3">
      <c r="G166" s="39" t="s">
        <v>137</v>
      </c>
      <c r="J166" s="39" t="s">
        <v>8</v>
      </c>
      <c r="K166" s="40" t="s">
        <v>11</v>
      </c>
      <c r="L166" s="41">
        <v>0.04</v>
      </c>
      <c r="M166" s="41"/>
      <c r="N166" s="41">
        <v>0</v>
      </c>
      <c r="O166" s="41"/>
      <c r="P166" s="41">
        <f t="shared" si="93"/>
        <v>0.04</v>
      </c>
      <c r="Q166" s="41"/>
      <c r="R166" s="42"/>
      <c r="S166" s="42"/>
      <c r="T166" s="42"/>
      <c r="U166" s="42"/>
      <c r="V166" s="42"/>
      <c r="W166" s="42"/>
      <c r="X166" s="42"/>
      <c r="Y166" s="42"/>
      <c r="Z166" s="43"/>
      <c r="AA166" s="43"/>
    </row>
    <row r="167" spans="2:27" s="3" customFormat="1" x14ac:dyDescent="0.3">
      <c r="B167" s="3" t="s">
        <v>66</v>
      </c>
      <c r="E167" s="23"/>
      <c r="F167" s="3" t="s">
        <v>162</v>
      </c>
      <c r="J167" s="3" t="s">
        <v>64</v>
      </c>
      <c r="K167" s="6"/>
      <c r="L167" s="3">
        <f>SUM(L149:L165)</f>
        <v>680000</v>
      </c>
      <c r="P167" s="3">
        <f>SUM(P149:P165)</f>
        <v>680000</v>
      </c>
      <c r="R167" s="19"/>
      <c r="S167" s="3">
        <f t="shared" ref="S167:Y167" si="95">SUM(S149:S165)</f>
        <v>680000</v>
      </c>
      <c r="T167" s="3">
        <f t="shared" si="95"/>
        <v>707200</v>
      </c>
      <c r="U167" s="3">
        <f t="shared" si="95"/>
        <v>735488.00000000012</v>
      </c>
      <c r="V167" s="3">
        <f t="shared" si="95"/>
        <v>764907.52000000014</v>
      </c>
      <c r="W167" s="3">
        <f t="shared" si="95"/>
        <v>795503.8208000001</v>
      </c>
      <c r="X167" s="3">
        <f t="shared" si="95"/>
        <v>827323.97363200039</v>
      </c>
      <c r="Y167" s="3">
        <f t="shared" si="95"/>
        <v>860416.93257728044</v>
      </c>
    </row>
    <row r="168" spans="2:27" s="29" customFormat="1" x14ac:dyDescent="0.3">
      <c r="G168" s="29" t="s">
        <v>125</v>
      </c>
      <c r="J168" s="29" t="s">
        <v>65</v>
      </c>
      <c r="K168" s="16"/>
      <c r="L168" s="29">
        <f>L167/L$11</f>
        <v>1863.013698630137</v>
      </c>
      <c r="P168" s="29">
        <f>P167/P$11</f>
        <v>1863.013698630137</v>
      </c>
      <c r="R168" s="30"/>
      <c r="S168" s="29">
        <f t="shared" ref="S168:Y168" si="96">S167/S$11</f>
        <v>1863.013698630137</v>
      </c>
      <c r="T168" s="29">
        <f t="shared" si="96"/>
        <v>1937.5342465753424</v>
      </c>
      <c r="U168" s="29">
        <f t="shared" si="96"/>
        <v>2015.0356164383566</v>
      </c>
      <c r="V168" s="29">
        <f t="shared" si="96"/>
        <v>2095.6370410958907</v>
      </c>
      <c r="W168" s="29">
        <f t="shared" si="96"/>
        <v>2179.4625227397264</v>
      </c>
      <c r="X168" s="29">
        <f t="shared" si="96"/>
        <v>2266.6410236493161</v>
      </c>
      <c r="Y168" s="29">
        <f t="shared" si="96"/>
        <v>2357.306664595289</v>
      </c>
    </row>
    <row r="169" spans="2:27" s="29" customFormat="1" ht="15" thickBot="1" x14ac:dyDescent="0.35">
      <c r="B169" s="60" t="s">
        <v>71</v>
      </c>
      <c r="C169" s="60"/>
      <c r="D169" s="60"/>
      <c r="E169" s="60"/>
      <c r="F169" s="60"/>
      <c r="G169" s="60" t="s">
        <v>126</v>
      </c>
      <c r="H169" s="60"/>
      <c r="I169" s="60"/>
      <c r="J169" s="60" t="s">
        <v>70</v>
      </c>
      <c r="K169" s="61"/>
      <c r="L169" s="62">
        <f>IF(L$54=0,0,L167/L$54)</f>
        <v>2.5534727229031482</v>
      </c>
      <c r="M169" s="62"/>
      <c r="N169" s="62"/>
      <c r="O169" s="62"/>
      <c r="P169" s="62">
        <f>IF(P$54=0,0,P167/P$54)</f>
        <v>2.5534727229031482</v>
      </c>
      <c r="Q169" s="62"/>
      <c r="R169" s="63"/>
      <c r="S169" s="62">
        <f t="shared" ref="S169:Y169" si="97">IF(S$54=0,0,S167/S$54)</f>
        <v>2.5534727229031482</v>
      </c>
      <c r="T169" s="62">
        <f t="shared" si="97"/>
        <v>2.6838628193918206</v>
      </c>
      <c r="U169" s="62">
        <f t="shared" si="97"/>
        <v>2.8212304217606916</v>
      </c>
      <c r="V169" s="62">
        <f t="shared" si="97"/>
        <v>2.9659718086162403</v>
      </c>
      <c r="W169" s="62">
        <f t="shared" si="97"/>
        <v>3.1185075016307904</v>
      </c>
      <c r="X169" s="62">
        <f t="shared" si="97"/>
        <v>3.2792838883815345</v>
      </c>
      <c r="Y169" s="62">
        <f t="shared" si="97"/>
        <v>3.4487749657585574</v>
      </c>
    </row>
    <row r="170" spans="2:27" ht="15" thickTop="1" x14ac:dyDescent="0.3">
      <c r="B170" s="64"/>
      <c r="C170" s="64"/>
      <c r="D170" s="64"/>
      <c r="E170" s="64"/>
      <c r="F170" s="64"/>
      <c r="G170" s="64"/>
      <c r="H170" s="64"/>
      <c r="I170" s="64"/>
      <c r="J170" s="64"/>
      <c r="K170" s="65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</row>
    <row r="171" spans="2:27" s="3" customFormat="1" x14ac:dyDescent="0.3">
      <c r="E171" s="23"/>
      <c r="F171" s="3" t="s">
        <v>144</v>
      </c>
      <c r="K171" s="6"/>
      <c r="R171" s="19"/>
      <c r="S171" s="19"/>
      <c r="T171" s="19"/>
      <c r="U171" s="19"/>
      <c r="V171" s="19"/>
      <c r="W171" s="19"/>
      <c r="X171" s="19"/>
      <c r="Y171" s="19"/>
    </row>
    <row r="172" spans="2:27" x14ac:dyDescent="0.3">
      <c r="F172" s="2" t="str">
        <f>F171</f>
        <v>текущая стоимость ТС</v>
      </c>
      <c r="J172" s="2" t="s">
        <v>64</v>
      </c>
      <c r="K172" s="6" t="s">
        <v>11</v>
      </c>
      <c r="L172" s="2">
        <v>7000000</v>
      </c>
      <c r="N172" s="2">
        <v>0</v>
      </c>
      <c r="P172" s="2">
        <f t="shared" ref="P172" si="98">L172+N172</f>
        <v>7000000</v>
      </c>
      <c r="R172" s="11"/>
      <c r="S172" s="11">
        <f t="shared" ref="S172" si="99">$P172</f>
        <v>7000000</v>
      </c>
      <c r="T172" s="11">
        <f>IF($P172-$P174*(T$5-1)&lt;0,0,$P172-$P174*(T$5-1))</f>
        <v>6000000</v>
      </c>
      <c r="U172" s="11">
        <f t="shared" ref="U172:Y172" si="100">IF($P172-$P174*(U$5-1)&lt;0,0,$P172-$P174*(U$5-1))</f>
        <v>5000000</v>
      </c>
      <c r="V172" s="11">
        <f t="shared" si="100"/>
        <v>4000000</v>
      </c>
      <c r="W172" s="11">
        <f t="shared" si="100"/>
        <v>3000000</v>
      </c>
      <c r="X172" s="11">
        <f t="shared" si="100"/>
        <v>2000000</v>
      </c>
      <c r="Y172" s="11">
        <f t="shared" si="100"/>
        <v>1000000</v>
      </c>
    </row>
    <row r="173" spans="2:27" x14ac:dyDescent="0.3">
      <c r="F173" s="2" t="s">
        <v>145</v>
      </c>
      <c r="J173" s="2" t="s">
        <v>146</v>
      </c>
      <c r="K173" s="6" t="s">
        <v>11</v>
      </c>
      <c r="L173" s="2">
        <v>7</v>
      </c>
      <c r="N173" s="2">
        <v>0</v>
      </c>
      <c r="P173" s="2">
        <f t="shared" ref="P173" si="101">L173+N173</f>
        <v>7</v>
      </c>
      <c r="R173" s="11"/>
      <c r="S173" s="11"/>
      <c r="T173" s="11"/>
      <c r="U173" s="11"/>
      <c r="V173" s="11"/>
      <c r="W173" s="11"/>
      <c r="X173" s="11"/>
      <c r="Y173" s="11"/>
    </row>
    <row r="174" spans="2:27" s="8" customFormat="1" x14ac:dyDescent="0.3">
      <c r="G174" s="8" t="s">
        <v>148</v>
      </c>
      <c r="J174" s="2" t="s">
        <v>64</v>
      </c>
      <c r="K174" s="9"/>
      <c r="L174" s="8">
        <f>L172/L173</f>
        <v>1000000</v>
      </c>
      <c r="N174" s="8">
        <v>0</v>
      </c>
      <c r="P174" s="8">
        <f>L174+N174</f>
        <v>1000000</v>
      </c>
      <c r="R174" s="13"/>
      <c r="S174" s="13"/>
      <c r="T174" s="13"/>
      <c r="U174" s="13"/>
      <c r="V174" s="13"/>
      <c r="W174" s="13"/>
      <c r="X174" s="13"/>
      <c r="Y174" s="13"/>
    </row>
    <row r="176" spans="2:27" s="3" customFormat="1" x14ac:dyDescent="0.3">
      <c r="B176" s="3" t="s">
        <v>66</v>
      </c>
      <c r="E176" s="23"/>
      <c r="F176" s="3" t="s">
        <v>147</v>
      </c>
      <c r="J176" s="3" t="s">
        <v>64</v>
      </c>
      <c r="K176" s="6"/>
      <c r="L176" s="3">
        <f>L174</f>
        <v>1000000</v>
      </c>
      <c r="P176" s="3">
        <f>P174</f>
        <v>1000000</v>
      </c>
      <c r="R176" s="19"/>
      <c r="S176" s="3">
        <f>$P$174</f>
        <v>1000000</v>
      </c>
      <c r="T176" s="3">
        <f t="shared" ref="T176:Y176" si="102">$P$174</f>
        <v>1000000</v>
      </c>
      <c r="U176" s="3">
        <f t="shared" si="102"/>
        <v>1000000</v>
      </c>
      <c r="V176" s="3">
        <f t="shared" si="102"/>
        <v>1000000</v>
      </c>
      <c r="W176" s="3">
        <f t="shared" si="102"/>
        <v>1000000</v>
      </c>
      <c r="X176" s="3">
        <f t="shared" si="102"/>
        <v>1000000</v>
      </c>
      <c r="Y176" s="3">
        <f t="shared" si="102"/>
        <v>1000000</v>
      </c>
    </row>
    <row r="177" spans="2:27" s="29" customFormat="1" x14ac:dyDescent="0.3">
      <c r="G177" s="29" t="s">
        <v>149</v>
      </c>
      <c r="J177" s="29" t="s">
        <v>65</v>
      </c>
      <c r="K177" s="16"/>
      <c r="L177" s="29">
        <f>L176/L$11</f>
        <v>2739.7260273972602</v>
      </c>
      <c r="P177" s="29">
        <f>P176/P$11</f>
        <v>2739.7260273972602</v>
      </c>
      <c r="R177" s="30"/>
      <c r="S177" s="29">
        <f t="shared" ref="S177" si="103">S176/S$11</f>
        <v>2739.7260273972602</v>
      </c>
      <c r="T177" s="29">
        <f t="shared" ref="T177" si="104">T176/T$11</f>
        <v>2739.7260273972602</v>
      </c>
      <c r="U177" s="29">
        <f t="shared" ref="U177" si="105">U176/U$11</f>
        <v>2739.7260273972602</v>
      </c>
      <c r="V177" s="29">
        <f t="shared" ref="V177" si="106">V176/V$11</f>
        <v>2739.7260273972602</v>
      </c>
      <c r="W177" s="29">
        <f t="shared" ref="W177" si="107">W176/W$11</f>
        <v>2739.7260273972602</v>
      </c>
      <c r="X177" s="29">
        <f t="shared" ref="X177" si="108">X176/X$11</f>
        <v>2739.7260273972602</v>
      </c>
      <c r="Y177" s="29">
        <f t="shared" ref="Y177" si="109">Y176/Y$11</f>
        <v>2739.7260273972602</v>
      </c>
    </row>
    <row r="178" spans="2:27" s="29" customFormat="1" ht="15" thickBot="1" x14ac:dyDescent="0.35">
      <c r="B178" s="60" t="s">
        <v>71</v>
      </c>
      <c r="C178" s="60"/>
      <c r="D178" s="60"/>
      <c r="E178" s="60"/>
      <c r="F178" s="60"/>
      <c r="G178" s="60" t="s">
        <v>150</v>
      </c>
      <c r="H178" s="60"/>
      <c r="I178" s="60"/>
      <c r="J178" s="60" t="s">
        <v>70</v>
      </c>
      <c r="K178" s="61"/>
      <c r="L178" s="62">
        <f>IF(L$54=0,0,L176/L$54)</f>
        <v>3.7551069454458061</v>
      </c>
      <c r="M178" s="62"/>
      <c r="N178" s="62"/>
      <c r="O178" s="62"/>
      <c r="P178" s="62">
        <f>IF(P$54=0,0,P176/P$54)</f>
        <v>3.7551069454458061</v>
      </c>
      <c r="Q178" s="62"/>
      <c r="R178" s="63"/>
      <c r="S178" s="62">
        <f t="shared" ref="S178:Y178" si="110">IF(S$54=0,0,S176/S$54)</f>
        <v>3.7551069454458061</v>
      </c>
      <c r="T178" s="62">
        <f t="shared" si="110"/>
        <v>3.7950548916739542</v>
      </c>
      <c r="U178" s="62">
        <f t="shared" si="110"/>
        <v>3.8358619335199098</v>
      </c>
      <c r="V178" s="62">
        <f t="shared" si="110"/>
        <v>3.877556084971213</v>
      </c>
      <c r="W178" s="62">
        <f t="shared" si="110"/>
        <v>3.920166591399469</v>
      </c>
      <c r="X178" s="62">
        <f t="shared" si="110"/>
        <v>3.9637239979705741</v>
      </c>
      <c r="Y178" s="62">
        <f t="shared" si="110"/>
        <v>4.0082602226668724</v>
      </c>
    </row>
    <row r="179" spans="2:27" ht="15" thickTop="1" x14ac:dyDescent="0.3">
      <c r="B179" s="64"/>
      <c r="C179" s="64"/>
      <c r="D179" s="64"/>
      <c r="E179" s="64"/>
      <c r="F179" s="64"/>
      <c r="G179" s="64"/>
      <c r="H179" s="64"/>
      <c r="I179" s="64"/>
      <c r="J179" s="64"/>
      <c r="K179" s="65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</row>
    <row r="180" spans="2:27" x14ac:dyDescent="0.3">
      <c r="F180" s="2" t="s">
        <v>151</v>
      </c>
      <c r="J180" s="2" t="s">
        <v>8</v>
      </c>
      <c r="K180" s="6" t="s">
        <v>11</v>
      </c>
      <c r="L180" s="7">
        <v>0.01</v>
      </c>
      <c r="M180" s="7"/>
      <c r="N180" s="7">
        <v>0</v>
      </c>
      <c r="O180" s="7"/>
      <c r="P180" s="7">
        <f t="shared" ref="P180" si="111">L180+N180</f>
        <v>0.01</v>
      </c>
      <c r="Q180" s="7"/>
      <c r="R180" s="12"/>
      <c r="S180" s="12">
        <f>$P180</f>
        <v>0.01</v>
      </c>
      <c r="T180" s="12">
        <f t="shared" ref="T180:Y180" si="112">$P180</f>
        <v>0.01</v>
      </c>
      <c r="U180" s="12">
        <f t="shared" si="112"/>
        <v>0.01</v>
      </c>
      <c r="V180" s="12">
        <f t="shared" si="112"/>
        <v>0.01</v>
      </c>
      <c r="W180" s="12">
        <f t="shared" si="112"/>
        <v>0.01</v>
      </c>
      <c r="X180" s="12">
        <f t="shared" si="112"/>
        <v>0.01</v>
      </c>
      <c r="Y180" s="12">
        <f t="shared" si="112"/>
        <v>0.01</v>
      </c>
      <c r="Z180" s="25"/>
      <c r="AA180" s="25"/>
    </row>
    <row r="182" spans="2:27" s="3" customFormat="1" x14ac:dyDescent="0.3">
      <c r="B182" s="3" t="s">
        <v>66</v>
      </c>
      <c r="E182" s="23"/>
      <c r="F182" s="3" t="s">
        <v>152</v>
      </c>
      <c r="J182" s="3" t="s">
        <v>64</v>
      </c>
      <c r="K182" s="6"/>
      <c r="L182" s="3">
        <f>L180*L172</f>
        <v>70000</v>
      </c>
      <c r="P182" s="3">
        <f>P180*P172</f>
        <v>70000</v>
      </c>
      <c r="R182" s="19"/>
      <c r="S182" s="3">
        <f t="shared" ref="S182:Y182" si="113">S180*S172</f>
        <v>70000</v>
      </c>
      <c r="T182" s="3">
        <f t="shared" si="113"/>
        <v>60000</v>
      </c>
      <c r="U182" s="3">
        <f t="shared" si="113"/>
        <v>50000</v>
      </c>
      <c r="V182" s="3">
        <f t="shared" si="113"/>
        <v>40000</v>
      </c>
      <c r="W182" s="3">
        <f t="shared" si="113"/>
        <v>30000</v>
      </c>
      <c r="X182" s="3">
        <f t="shared" si="113"/>
        <v>20000</v>
      </c>
      <c r="Y182" s="3">
        <f t="shared" si="113"/>
        <v>10000</v>
      </c>
    </row>
    <row r="183" spans="2:27" s="29" customFormat="1" x14ac:dyDescent="0.3">
      <c r="G183" s="29" t="s">
        <v>153</v>
      </c>
      <c r="J183" s="29" t="s">
        <v>65</v>
      </c>
      <c r="K183" s="16"/>
      <c r="L183" s="29">
        <f>L182/L$11</f>
        <v>191.78082191780823</v>
      </c>
      <c r="P183" s="29">
        <f>P182/P$11</f>
        <v>191.78082191780823</v>
      </c>
      <c r="R183" s="30"/>
      <c r="S183" s="29">
        <f t="shared" ref="S183:Y183" si="114">S182/S$11</f>
        <v>191.78082191780823</v>
      </c>
      <c r="T183" s="29">
        <f t="shared" si="114"/>
        <v>164.38356164383561</v>
      </c>
      <c r="U183" s="29">
        <f t="shared" si="114"/>
        <v>136.98630136986301</v>
      </c>
      <c r="V183" s="29">
        <f t="shared" si="114"/>
        <v>109.58904109589041</v>
      </c>
      <c r="W183" s="29">
        <f t="shared" si="114"/>
        <v>82.191780821917803</v>
      </c>
      <c r="X183" s="29">
        <f t="shared" si="114"/>
        <v>54.794520547945204</v>
      </c>
      <c r="Y183" s="29">
        <f t="shared" si="114"/>
        <v>27.397260273972602</v>
      </c>
    </row>
    <row r="184" spans="2:27" s="29" customFormat="1" ht="15" thickBot="1" x14ac:dyDescent="0.35">
      <c r="B184" s="72" t="s">
        <v>71</v>
      </c>
      <c r="C184" s="72"/>
      <c r="D184" s="72"/>
      <c r="E184" s="72"/>
      <c r="F184" s="72"/>
      <c r="G184" s="72" t="s">
        <v>154</v>
      </c>
      <c r="H184" s="72"/>
      <c r="I184" s="72"/>
      <c r="J184" s="72" t="s">
        <v>70</v>
      </c>
      <c r="K184" s="73"/>
      <c r="L184" s="74">
        <f>IF(L$54=0,0,L182/L$54)</f>
        <v>0.26285748618120647</v>
      </c>
      <c r="M184" s="74"/>
      <c r="N184" s="74"/>
      <c r="O184" s="74"/>
      <c r="P184" s="74">
        <f>IF(P$54=0,0,P182/P$54)</f>
        <v>0.26285748618120647</v>
      </c>
      <c r="Q184" s="74"/>
      <c r="R184" s="75"/>
      <c r="S184" s="74">
        <f t="shared" ref="S184:Y184" si="115">IF(S$54=0,0,S182/S$54)</f>
        <v>0.26285748618120647</v>
      </c>
      <c r="T184" s="74">
        <f t="shared" si="115"/>
        <v>0.22770329350043725</v>
      </c>
      <c r="U184" s="74">
        <f t="shared" si="115"/>
        <v>0.19179309667599548</v>
      </c>
      <c r="V184" s="74">
        <f t="shared" si="115"/>
        <v>0.15510224339884854</v>
      </c>
      <c r="W184" s="74">
        <f t="shared" si="115"/>
        <v>0.11760499774198406</v>
      </c>
      <c r="X184" s="74">
        <f t="shared" si="115"/>
        <v>7.927447995941149E-2</v>
      </c>
      <c r="Y184" s="74">
        <f t="shared" si="115"/>
        <v>4.008260222666872E-2</v>
      </c>
    </row>
    <row r="185" spans="2:27" ht="15" thickTop="1" x14ac:dyDescent="0.3">
      <c r="B185" s="76"/>
      <c r="C185" s="76"/>
      <c r="D185" s="76"/>
      <c r="E185" s="76"/>
      <c r="F185" s="76"/>
      <c r="G185" s="76"/>
      <c r="H185" s="76"/>
      <c r="I185" s="76"/>
      <c r="J185" s="76"/>
      <c r="K185" s="77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2021-06-21T15:00:38Z</dcterms:modified>
</cp:coreProperties>
</file>